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brien\Dropbox (Energy Innovation)\Desktop\Models\E.U. Models\eps-eu\InputData\fuels\FoVTStCT\"/>
    </mc:Choice>
  </mc:AlternateContent>
  <xr:revisionPtr revIDLastSave="0" documentId="13_ncr:1_{A19902F1-3B96-49B1-95E4-2F8C5965C578}" xr6:coauthVersionLast="47" xr6:coauthVersionMax="47" xr10:uidLastSave="{00000000-0000-0000-0000-000000000000}"/>
  <bookViews>
    <workbookView xWindow="10140" yWindow="0" windowWidth="18555" windowHeight="9120" activeTab="4" xr2:uid="{9AA6BDF2-7B91-4567-88A2-0D83F9E3E450}"/>
  </bookViews>
  <sheets>
    <sheet name="About" sheetId="1" r:id="rId1"/>
    <sheet name="Data" sheetId="4" r:id="rId2"/>
    <sheet name="fuels-FoICStCT Projections" sheetId="5" r:id="rId3"/>
    <sheet name="calcs" sheetId="6" r:id="rId4"/>
    <sheet name="FoVTStCT" sheetId="3" r:id="rId5"/>
  </sheets>
  <externalReferences>
    <externalReference r:id="rId6"/>
    <externalReference r:id="rId7"/>
    <externalReference r:id="rId8"/>
    <externalReference r:id="rId9"/>
  </externalReferences>
  <definedNames>
    <definedName name="CH4_to_CO2e">'[1]Cross-Page Data'!$C$12</definedName>
    <definedName name="cpi_2010to2012">#REF!</definedName>
    <definedName name="cpi_2013to2012">#REF!</definedName>
    <definedName name="cpi_2014to2012">#REF!</definedName>
    <definedName name="cpi_2016to2012">#REF!</definedName>
    <definedName name="gigwatts_to_megawatts">[2]About!$A$31</definedName>
    <definedName name="N2O_to_CO2e">'[1]Cross-Page Data'!$C$13</definedName>
    <definedName name="unit_conv">[3]About!$A$123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67" i="5" l="1"/>
  <c r="C67" i="5"/>
  <c r="D67" i="5"/>
  <c r="E67" i="5"/>
  <c r="F67" i="5"/>
  <c r="G67" i="5"/>
  <c r="H67" i="5"/>
  <c r="I67" i="5"/>
  <c r="J67" i="5"/>
  <c r="K67" i="5"/>
  <c r="L67" i="5"/>
  <c r="M67" i="5"/>
  <c r="N67" i="5"/>
  <c r="O67" i="5"/>
  <c r="P67" i="5"/>
  <c r="Q67" i="5"/>
  <c r="R67" i="5"/>
  <c r="S67" i="5"/>
  <c r="T67" i="5"/>
  <c r="U67" i="5"/>
  <c r="V67" i="5"/>
  <c r="W67" i="5"/>
  <c r="X67" i="5"/>
  <c r="Y67" i="5"/>
  <c r="Z67" i="5"/>
  <c r="AA67" i="5"/>
  <c r="AB67" i="5"/>
  <c r="AC67" i="5"/>
  <c r="AD67" i="5"/>
  <c r="AE67" i="5"/>
  <c r="AF67" i="5"/>
  <c r="AD94" i="5" l="1"/>
  <c r="AC94" i="5"/>
  <c r="AB94" i="5"/>
  <c r="AA94" i="5"/>
  <c r="Z94" i="5"/>
  <c r="Y94" i="5"/>
  <c r="X94" i="5"/>
  <c r="W94" i="5"/>
  <c r="V94" i="5"/>
  <c r="U94" i="5"/>
  <c r="T94" i="5"/>
  <c r="S94" i="5"/>
  <c r="R94" i="5"/>
  <c r="Q94" i="5"/>
  <c r="P94" i="5"/>
  <c r="O94" i="5"/>
  <c r="N94" i="5"/>
  <c r="M94" i="5"/>
  <c r="L94" i="5"/>
  <c r="K94" i="5"/>
  <c r="J94" i="5"/>
  <c r="I94" i="5"/>
  <c r="H94" i="5"/>
  <c r="G94" i="5"/>
  <c r="F94" i="5"/>
  <c r="E94" i="5"/>
  <c r="D94" i="5"/>
  <c r="C94" i="5"/>
  <c r="B94" i="5"/>
  <c r="O113" i="5" l="1"/>
  <c r="F93" i="5"/>
  <c r="E93" i="5"/>
  <c r="D93" i="5"/>
  <c r="C93" i="5"/>
  <c r="B93" i="5"/>
  <c r="AF6" i="5"/>
  <c r="AD113" i="5" s="1"/>
  <c r="AE6" i="5"/>
  <c r="AC113" i="5" s="1"/>
  <c r="AD6" i="5"/>
  <c r="AB113" i="5" s="1"/>
  <c r="AC6" i="5"/>
  <c r="AA113" i="5" s="1"/>
  <c r="AB6" i="5"/>
  <c r="Z113" i="5" s="1"/>
  <c r="AA6" i="5"/>
  <c r="Y113" i="5" s="1"/>
  <c r="Z6" i="5"/>
  <c r="X113" i="5" s="1"/>
  <c r="Y6" i="5"/>
  <c r="W113" i="5" s="1"/>
  <c r="X6" i="5"/>
  <c r="V113" i="5" s="1"/>
  <c r="W6" i="5"/>
  <c r="U113" i="5" s="1"/>
  <c r="V6" i="5"/>
  <c r="T113" i="5" s="1"/>
  <c r="U6" i="5"/>
  <c r="S113" i="5" s="1"/>
  <c r="T6" i="5"/>
  <c r="R113" i="5" s="1"/>
  <c r="S6" i="5"/>
  <c r="Q113" i="5" s="1"/>
  <c r="R6" i="5"/>
  <c r="P113" i="5" s="1"/>
  <c r="Q6" i="5"/>
  <c r="P6" i="5"/>
  <c r="N113" i="5" s="1"/>
  <c r="O6" i="5"/>
  <c r="M113" i="5" s="1"/>
  <c r="N6" i="5"/>
  <c r="L113" i="5" s="1"/>
  <c r="M6" i="5"/>
  <c r="K113" i="5" s="1"/>
  <c r="L6" i="5"/>
  <c r="J113" i="5" s="1"/>
  <c r="K6" i="5"/>
  <c r="I113" i="5" s="1"/>
  <c r="J6" i="5"/>
  <c r="H113" i="5" s="1"/>
  <c r="I6" i="5"/>
  <c r="G113" i="5" s="1"/>
  <c r="H6" i="5"/>
  <c r="F113" i="5" s="1"/>
  <c r="G6" i="5"/>
  <c r="E113" i="5" s="1"/>
  <c r="F6" i="5"/>
  <c r="D113" i="5" s="1"/>
  <c r="E6" i="5"/>
  <c r="C113" i="5" s="1"/>
  <c r="D6" i="5"/>
  <c r="B113" i="5" s="1"/>
  <c r="C6" i="5"/>
  <c r="B8" i="6"/>
  <c r="B7" i="3"/>
  <c r="AE6" i="3"/>
  <c r="AD6" i="3"/>
  <c r="AC6" i="3"/>
  <c r="AB6" i="3"/>
  <c r="AA6" i="3"/>
  <c r="Z6" i="3"/>
  <c r="Y6" i="3"/>
  <c r="X6" i="3"/>
  <c r="W6" i="3"/>
  <c r="V6" i="3"/>
  <c r="U6" i="3"/>
  <c r="T6" i="3"/>
  <c r="S6" i="3"/>
  <c r="R6" i="3"/>
  <c r="Q6" i="3"/>
  <c r="P6" i="3"/>
  <c r="O6" i="3"/>
  <c r="N6" i="3"/>
  <c r="M6" i="3"/>
  <c r="L6" i="3"/>
  <c r="K6" i="3"/>
  <c r="J6" i="3"/>
  <c r="I6" i="3"/>
  <c r="H6" i="3"/>
  <c r="G6" i="3"/>
  <c r="F6" i="3"/>
  <c r="E6" i="3"/>
  <c r="D6" i="3"/>
  <c r="C6" i="3"/>
  <c r="B6" i="3"/>
  <c r="AE5" i="3"/>
  <c r="AD5" i="3"/>
  <c r="AC5" i="3"/>
  <c r="AB5" i="3"/>
  <c r="AA5" i="3"/>
  <c r="Z5" i="3"/>
  <c r="Y5" i="3"/>
  <c r="X5" i="3"/>
  <c r="W5" i="3"/>
  <c r="V5" i="3"/>
  <c r="U5" i="3"/>
  <c r="T5" i="3"/>
  <c r="S5" i="3"/>
  <c r="R5" i="3"/>
  <c r="Q5" i="3"/>
  <c r="P5" i="3"/>
  <c r="O5" i="3"/>
  <c r="N5" i="3"/>
  <c r="M5" i="3"/>
  <c r="L5" i="3"/>
  <c r="K5" i="3"/>
  <c r="J5" i="3"/>
  <c r="I5" i="3"/>
  <c r="H5" i="3"/>
  <c r="G5" i="3"/>
  <c r="F5" i="3"/>
  <c r="E5" i="3"/>
  <c r="D5" i="3"/>
  <c r="C5" i="3"/>
  <c r="B5" i="3"/>
  <c r="B4" i="3"/>
  <c r="B3" i="3"/>
  <c r="B2" i="3"/>
  <c r="B5" i="6"/>
  <c r="F92" i="5"/>
  <c r="E92" i="5"/>
  <c r="D92" i="5"/>
  <c r="C92" i="5"/>
  <c r="B92" i="5"/>
  <c r="F78" i="5"/>
  <c r="G78" i="5" s="1"/>
  <c r="AD91" i="5" s="1"/>
  <c r="AD93" i="5" s="1"/>
  <c r="F77" i="5"/>
  <c r="G77" i="5" s="1"/>
  <c r="Y91" i="5" s="1"/>
  <c r="Y93" i="5" s="1"/>
  <c r="F76" i="5"/>
  <c r="G76" i="5" s="1"/>
  <c r="T91" i="5" s="1"/>
  <c r="T93" i="5" s="1"/>
  <c r="F75" i="5"/>
  <c r="G75" i="5" s="1"/>
  <c r="O91" i="5" s="1"/>
  <c r="O93" i="5" s="1"/>
  <c r="F74" i="5"/>
  <c r="G74" i="5" s="1"/>
  <c r="D55" i="5"/>
  <c r="D54" i="5"/>
  <c r="F53" i="5" a="1"/>
  <c r="G55" i="5" s="1"/>
  <c r="C53" i="5"/>
  <c r="D53" i="5" s="1"/>
  <c r="C52" i="5"/>
  <c r="D52" i="5" s="1"/>
  <c r="R40" i="5"/>
  <c r="T40" i="5" s="1"/>
  <c r="R39" i="5"/>
  <c r="N39" i="5"/>
  <c r="R38" i="5"/>
  <c r="N38" i="5"/>
  <c r="R37" i="5"/>
  <c r="N37" i="5"/>
  <c r="R36" i="5"/>
  <c r="N36" i="5"/>
  <c r="T36" i="5" s="1"/>
  <c r="R35" i="5"/>
  <c r="T35" i="5" s="1"/>
  <c r="Q23" i="5"/>
  <c r="M22" i="5"/>
  <c r="M23" i="5" s="1"/>
  <c r="D56" i="5" l="1"/>
  <c r="G56" i="5" s="1"/>
  <c r="T38" i="5"/>
  <c r="J91" i="5"/>
  <c r="L91" i="5" s="1"/>
  <c r="L93" i="5" s="1"/>
  <c r="G91" i="5"/>
  <c r="I91" i="5"/>
  <c r="H91" i="5"/>
  <c r="T37" i="5"/>
  <c r="U37" i="5" s="1"/>
  <c r="U36" i="5"/>
  <c r="G54" i="5"/>
  <c r="T39" i="5"/>
  <c r="U40" i="5" s="1"/>
  <c r="C65" i="5"/>
  <c r="AD92" i="5"/>
  <c r="P91" i="5"/>
  <c r="P93" i="5" s="1"/>
  <c r="R91" i="5"/>
  <c r="R93" i="5" s="1"/>
  <c r="Q91" i="5"/>
  <c r="Q93" i="5" s="1"/>
  <c r="O92" i="5"/>
  <c r="S91" i="5"/>
  <c r="S93" i="5" s="1"/>
  <c r="M24" i="5"/>
  <c r="D58" i="5" s="1"/>
  <c r="D57" i="5"/>
  <c r="X91" i="5"/>
  <c r="X93" i="5" s="1"/>
  <c r="W91" i="5"/>
  <c r="W93" i="5" s="1"/>
  <c r="V91" i="5"/>
  <c r="V93" i="5" s="1"/>
  <c r="U91" i="5"/>
  <c r="U93" i="5" s="1"/>
  <c r="T92" i="5"/>
  <c r="Y92" i="5"/>
  <c r="AC91" i="5"/>
  <c r="AC93" i="5" s="1"/>
  <c r="AB91" i="5"/>
  <c r="AB93" i="5" s="1"/>
  <c r="AA91" i="5"/>
  <c r="AA93" i="5" s="1"/>
  <c r="Z91" i="5"/>
  <c r="Z93" i="5" s="1"/>
  <c r="B65" i="5"/>
  <c r="B5" i="5"/>
  <c r="B6" i="5" s="1"/>
  <c r="K91" i="5"/>
  <c r="K93" i="5" s="1"/>
  <c r="M91" i="5"/>
  <c r="M93" i="5" s="1"/>
  <c r="F53" i="5"/>
  <c r="G53" i="5" s="1"/>
  <c r="N91" i="5" l="1"/>
  <c r="N93" i="5" s="1"/>
  <c r="H92" i="5"/>
  <c r="H93" i="5"/>
  <c r="I92" i="5"/>
  <c r="I93" i="5"/>
  <c r="G92" i="5"/>
  <c r="G93" i="5"/>
  <c r="U39" i="5"/>
  <c r="J92" i="5"/>
  <c r="J93" i="5"/>
  <c r="B66" i="5"/>
  <c r="C66" i="5"/>
  <c r="U38" i="5"/>
  <c r="D59" i="5"/>
  <c r="G58" i="5"/>
  <c r="M92" i="5"/>
  <c r="V92" i="5"/>
  <c r="U92" i="5"/>
  <c r="AC92" i="5"/>
  <c r="S92" i="5"/>
  <c r="AA92" i="5"/>
  <c r="K92" i="5"/>
  <c r="AB92" i="5"/>
  <c r="N92" i="5"/>
  <c r="X92" i="5"/>
  <c r="L92" i="5"/>
  <c r="Q92" i="5"/>
  <c r="W92" i="5"/>
  <c r="Z92" i="5"/>
  <c r="R92" i="5"/>
  <c r="G57" i="5"/>
  <c r="P92" i="5"/>
  <c r="G59" i="5" l="1"/>
  <c r="D60" i="5"/>
  <c r="D61" i="5" l="1"/>
  <c r="G60" i="5"/>
  <c r="G61" i="5" l="1"/>
  <c r="D62" i="5"/>
  <c r="E61" i="5" s="1"/>
  <c r="E60" i="5"/>
  <c r="D65" i="5" l="1" a="1"/>
  <c r="I66" i="5" s="1"/>
  <c r="E62" i="5"/>
  <c r="G62" i="5"/>
  <c r="H53" i="5" s="1"/>
  <c r="E55" i="5"/>
  <c r="E56" i="5"/>
  <c r="E59" i="5"/>
  <c r="E54" i="5"/>
  <c r="E57" i="5"/>
  <c r="E58" i="5"/>
  <c r="E53" i="5"/>
  <c r="H59" i="5"/>
  <c r="K66" i="5" l="1"/>
  <c r="G66" i="5"/>
  <c r="D65" i="5"/>
  <c r="H66" i="5"/>
  <c r="E66" i="5"/>
  <c r="F66" i="5"/>
  <c r="H60" i="5"/>
  <c r="L66" i="5"/>
  <c r="H54" i="5"/>
  <c r="H56" i="5"/>
  <c r="J66" i="5"/>
  <c r="H58" i="5"/>
  <c r="D66" i="5"/>
  <c r="AB65" i="5"/>
  <c r="T65" i="5"/>
  <c r="V65" i="5"/>
  <c r="M65" i="5"/>
  <c r="AA65" i="5"/>
  <c r="S65" i="5"/>
  <c r="U65" i="5"/>
  <c r="Z65" i="5"/>
  <c r="R65" i="5"/>
  <c r="AD65" i="5"/>
  <c r="AC65" i="5"/>
  <c r="Y65" i="5"/>
  <c r="Q65" i="5"/>
  <c r="AF65" i="5"/>
  <c r="X65" i="5"/>
  <c r="P65" i="5"/>
  <c r="H62" i="5"/>
  <c r="AE65" i="5"/>
  <c r="W65" i="5"/>
  <c r="O65" i="5"/>
  <c r="N65" i="5"/>
  <c r="H61" i="5"/>
  <c r="H57" i="5"/>
  <c r="H55" i="5"/>
  <c r="N114" i="5" l="1"/>
  <c r="D114" i="5"/>
  <c r="X114" i="5"/>
  <c r="S114" i="5"/>
  <c r="L114" i="5"/>
  <c r="Y114" i="5"/>
  <c r="F114" i="5"/>
  <c r="O114" i="5"/>
  <c r="J114" i="5"/>
  <c r="B114" i="5"/>
  <c r="V114" i="5"/>
  <c r="AA114" i="5"/>
  <c r="AC114" i="5"/>
  <c r="AB114" i="5"/>
  <c r="R114" i="5"/>
  <c r="H114" i="5"/>
  <c r="G114" i="5"/>
  <c r="AD114" i="5"/>
  <c r="Q114" i="5"/>
  <c r="E114" i="5"/>
  <c r="M114" i="5"/>
  <c r="W114" i="5"/>
  <c r="K114" i="5"/>
  <c r="I114" i="5"/>
  <c r="U114" i="5"/>
  <c r="T114" i="5"/>
  <c r="P114" i="5"/>
  <c r="Z114" i="5"/>
  <c r="C114" i="5"/>
  <c r="W66" i="5"/>
  <c r="R66" i="5"/>
  <c r="AB66" i="5"/>
  <c r="Z66" i="5"/>
  <c r="T66" i="5"/>
  <c r="AC66" i="5"/>
  <c r="AE66" i="5"/>
  <c r="AD66" i="5"/>
  <c r="P66" i="5"/>
  <c r="U66" i="5"/>
  <c r="AF66" i="5"/>
  <c r="S66" i="5"/>
  <c r="AA66" i="5"/>
  <c r="V66" i="5"/>
  <c r="X66" i="5"/>
  <c r="N66" i="5"/>
  <c r="Q66" i="5"/>
  <c r="O66" i="5"/>
  <c r="Y66" i="5"/>
  <c r="M66" i="5"/>
  <c r="Y116" i="5" l="1"/>
  <c r="Z3" i="6" s="1"/>
  <c r="Y117" i="5"/>
  <c r="G116" i="5"/>
  <c r="H3" i="6" s="1"/>
  <c r="G117" i="5"/>
  <c r="O116" i="5"/>
  <c r="P3" i="6" s="1"/>
  <c r="P2" i="3" s="1"/>
  <c r="O117" i="5"/>
  <c r="W116" i="5"/>
  <c r="X3" i="6" s="1"/>
  <c r="X2" i="3" s="1"/>
  <c r="W117" i="5"/>
  <c r="AB116" i="5"/>
  <c r="AC3" i="6" s="1"/>
  <c r="AB117" i="5"/>
  <c r="C116" i="5"/>
  <c r="D3" i="6" s="1"/>
  <c r="C117" i="5"/>
  <c r="M116" i="5"/>
  <c r="N3" i="6" s="1"/>
  <c r="N2" i="3" s="1"/>
  <c r="M117" i="5"/>
  <c r="AC116" i="5"/>
  <c r="AD3" i="6" s="1"/>
  <c r="AD8" i="6" s="1"/>
  <c r="AD7" i="3" s="1"/>
  <c r="AC117" i="5"/>
  <c r="L116" i="5"/>
  <c r="M3" i="6" s="1"/>
  <c r="L117" i="5"/>
  <c r="U116" i="5"/>
  <c r="V3" i="6" s="1"/>
  <c r="U117" i="5"/>
  <c r="J116" i="5"/>
  <c r="K3" i="6" s="1"/>
  <c r="K4" i="6" s="1"/>
  <c r="K3" i="3" s="1"/>
  <c r="J117" i="5"/>
  <c r="F116" i="5"/>
  <c r="G3" i="6" s="1"/>
  <c r="G8" i="6" s="1"/>
  <c r="G7" i="3" s="1"/>
  <c r="F117" i="5"/>
  <c r="Z116" i="5"/>
  <c r="AA3" i="6" s="1"/>
  <c r="Z117" i="5"/>
  <c r="E116" i="5"/>
  <c r="F3" i="6" s="1"/>
  <c r="F2" i="3" s="1"/>
  <c r="E117" i="5"/>
  <c r="AA116" i="5"/>
  <c r="AB3" i="6" s="1"/>
  <c r="AB2" i="3" s="1"/>
  <c r="AA117" i="5"/>
  <c r="S116" i="5"/>
  <c r="T3" i="6" s="1"/>
  <c r="T8" i="6" s="1"/>
  <c r="T7" i="3" s="1"/>
  <c r="S117" i="5"/>
  <c r="I116" i="5"/>
  <c r="J3" i="6" s="1"/>
  <c r="I117" i="5"/>
  <c r="H116" i="5"/>
  <c r="I3" i="6" s="1"/>
  <c r="I8" i="6" s="1"/>
  <c r="I7" i="3" s="1"/>
  <c r="H117" i="5"/>
  <c r="R116" i="5"/>
  <c r="S3" i="6" s="1"/>
  <c r="S4" i="6" s="1"/>
  <c r="S3" i="3" s="1"/>
  <c r="R117" i="5"/>
  <c r="P116" i="5"/>
  <c r="Q3" i="6" s="1"/>
  <c r="Q4" i="6" s="1"/>
  <c r="Q3" i="3" s="1"/>
  <c r="P117" i="5"/>
  <c r="Q116" i="5"/>
  <c r="R3" i="6" s="1"/>
  <c r="Q117" i="5"/>
  <c r="V116" i="5"/>
  <c r="W3" i="6" s="1"/>
  <c r="W4" i="6" s="1"/>
  <c r="W3" i="3" s="1"/>
  <c r="V117" i="5"/>
  <c r="X116" i="5"/>
  <c r="Y3" i="6" s="1"/>
  <c r="Y2" i="3" s="1"/>
  <c r="X117" i="5"/>
  <c r="K116" i="5"/>
  <c r="L3" i="6" s="1"/>
  <c r="L4" i="6" s="1"/>
  <c r="L3" i="3" s="1"/>
  <c r="K117" i="5"/>
  <c r="T116" i="5"/>
  <c r="U3" i="6" s="1"/>
  <c r="T117" i="5"/>
  <c r="AD116" i="5"/>
  <c r="AE3" i="6" s="1"/>
  <c r="AE8" i="6" s="1"/>
  <c r="AE7" i="3" s="1"/>
  <c r="AD117" i="5"/>
  <c r="B116" i="5"/>
  <c r="C3" i="6" s="1"/>
  <c r="C4" i="6" s="1"/>
  <c r="C3" i="3" s="1"/>
  <c r="B117" i="5"/>
  <c r="D116" i="5"/>
  <c r="E3" i="6" s="1"/>
  <c r="E2" i="3" s="1"/>
  <c r="D117" i="5"/>
  <c r="N116" i="5"/>
  <c r="O3" i="6" s="1"/>
  <c r="O4" i="6" s="1"/>
  <c r="O3" i="3" s="1"/>
  <c r="N117" i="5"/>
  <c r="Z115" i="5"/>
  <c r="AA5" i="6" s="1"/>
  <c r="AA4" i="3" s="1"/>
  <c r="I115" i="5"/>
  <c r="J5" i="6" s="1"/>
  <c r="J4" i="3" s="1"/>
  <c r="E115" i="5"/>
  <c r="F5" i="6" s="1"/>
  <c r="F4" i="3" s="1"/>
  <c r="H115" i="5"/>
  <c r="I5" i="6" s="1"/>
  <c r="I4" i="3" s="1"/>
  <c r="AA115" i="5"/>
  <c r="AB5" i="6" s="1"/>
  <c r="AB4" i="3" s="1"/>
  <c r="O115" i="5"/>
  <c r="P5" i="6" s="1"/>
  <c r="P4" i="3" s="1"/>
  <c r="S115" i="5"/>
  <c r="P115" i="5"/>
  <c r="Q5" i="6" s="1"/>
  <c r="Q4" i="3" s="1"/>
  <c r="K115" i="5"/>
  <c r="L5" i="6" s="1"/>
  <c r="L4" i="3" s="1"/>
  <c r="Q115" i="5"/>
  <c r="R115" i="5"/>
  <c r="S5" i="6" s="1"/>
  <c r="S4" i="3" s="1"/>
  <c r="V115" i="5"/>
  <c r="W5" i="6" s="1"/>
  <c r="W4" i="3" s="1"/>
  <c r="F115" i="5"/>
  <c r="G5" i="6" s="1"/>
  <c r="G4" i="3" s="1"/>
  <c r="X115" i="5"/>
  <c r="I2" i="3"/>
  <c r="I4" i="6"/>
  <c r="I3" i="3" s="1"/>
  <c r="T115" i="5"/>
  <c r="U5" i="6" s="1"/>
  <c r="U4" i="3" s="1"/>
  <c r="W115" i="5"/>
  <c r="X5" i="6" s="1"/>
  <c r="X4" i="3" s="1"/>
  <c r="AD115" i="5"/>
  <c r="AE5" i="6" s="1"/>
  <c r="AE4" i="3" s="1"/>
  <c r="AB115" i="5"/>
  <c r="AC5" i="6" s="1"/>
  <c r="AC4" i="3" s="1"/>
  <c r="B115" i="5"/>
  <c r="C5" i="6" s="1"/>
  <c r="C4" i="3" s="1"/>
  <c r="Y115" i="5"/>
  <c r="D115" i="5"/>
  <c r="E5" i="6" s="1"/>
  <c r="E4" i="3" s="1"/>
  <c r="D4" i="6"/>
  <c r="D3" i="3" s="1"/>
  <c r="D2" i="3"/>
  <c r="D8" i="6"/>
  <c r="D7" i="3" s="1"/>
  <c r="H4" i="6"/>
  <c r="H3" i="3" s="1"/>
  <c r="H8" i="6"/>
  <c r="H7" i="3" s="1"/>
  <c r="H2" i="3"/>
  <c r="C115" i="5"/>
  <c r="D5" i="6" s="1"/>
  <c r="D4" i="3" s="1"/>
  <c r="U115" i="5"/>
  <c r="V5" i="6" s="1"/>
  <c r="V4" i="3" s="1"/>
  <c r="M115" i="5"/>
  <c r="G115" i="5"/>
  <c r="H5" i="6" s="1"/>
  <c r="H4" i="3" s="1"/>
  <c r="AC115" i="5"/>
  <c r="AD5" i="6" s="1"/>
  <c r="AD4" i="3" s="1"/>
  <c r="J115" i="5"/>
  <c r="K5" i="6" s="1"/>
  <c r="K4" i="3" s="1"/>
  <c r="L115" i="5"/>
  <c r="M5" i="6" s="1"/>
  <c r="M4" i="3" s="1"/>
  <c r="N115" i="5"/>
  <c r="O5" i="6" s="1"/>
  <c r="O4" i="3" s="1"/>
  <c r="O8" i="6"/>
  <c r="O7" i="3" s="1"/>
  <c r="O2" i="3"/>
  <c r="AC8" i="6"/>
  <c r="AC7" i="3" s="1"/>
  <c r="AC4" i="6"/>
  <c r="AC3" i="3" s="1"/>
  <c r="AC2" i="3"/>
  <c r="AE4" i="6"/>
  <c r="AE3" i="3" s="1"/>
  <c r="R4" i="6"/>
  <c r="R3" i="3" s="1"/>
  <c r="R2" i="3"/>
  <c r="R8" i="6"/>
  <c r="R7" i="3" s="1"/>
  <c r="V8" i="6"/>
  <c r="V7" i="3" s="1"/>
  <c r="V4" i="6"/>
  <c r="V3" i="3" s="1"/>
  <c r="V2" i="3"/>
  <c r="Y4" i="6"/>
  <c r="Y3" i="3" s="1"/>
  <c r="W2" i="3"/>
  <c r="AA4" i="6"/>
  <c r="AA3" i="3" s="1"/>
  <c r="AA8" i="6"/>
  <c r="AA7" i="3" s="1"/>
  <c r="AA2" i="3"/>
  <c r="J4" i="6"/>
  <c r="J3" i="3" s="1"/>
  <c r="J2" i="3"/>
  <c r="J8" i="6"/>
  <c r="J7" i="3" s="1"/>
  <c r="U8" i="6"/>
  <c r="U7" i="3" s="1"/>
  <c r="U4" i="6"/>
  <c r="U3" i="3" s="1"/>
  <c r="U2" i="3"/>
  <c r="M8" i="6"/>
  <c r="M7" i="3" s="1"/>
  <c r="M4" i="6"/>
  <c r="M3" i="3" s="1"/>
  <c r="M2" i="3"/>
  <c r="Z4" i="6"/>
  <c r="Z3" i="3" s="1"/>
  <c r="Z8" i="6"/>
  <c r="Z7" i="3" s="1"/>
  <c r="Z2" i="3"/>
  <c r="T5" i="6"/>
  <c r="T4" i="3" s="1"/>
  <c r="Z5" i="6"/>
  <c r="Z4" i="3" s="1"/>
  <c r="R5" i="6"/>
  <c r="R4" i="3" s="1"/>
  <c r="Y5" i="6"/>
  <c r="Y4" i="3" s="1"/>
  <c r="N5" i="6"/>
  <c r="N4" i="3" s="1"/>
  <c r="Y8" i="6" l="1"/>
  <c r="Y7" i="3" s="1"/>
  <c r="AB8" i="6"/>
  <c r="AB7" i="3" s="1"/>
  <c r="AB4" i="6"/>
  <c r="AB3" i="3" s="1"/>
  <c r="K2" i="3"/>
  <c r="C8" i="6"/>
  <c r="C7" i="3" s="1"/>
  <c r="K8" i="6"/>
  <c r="K7" i="3" s="1"/>
  <c r="AE2" i="3"/>
  <c r="F4" i="6"/>
  <c r="F3" i="3" s="1"/>
  <c r="N4" i="6"/>
  <c r="N3" i="3" s="1"/>
  <c r="N8" i="6"/>
  <c r="N7" i="3" s="1"/>
  <c r="W8" i="6"/>
  <c r="W7" i="3" s="1"/>
  <c r="D118" i="5"/>
  <c r="S118" i="5"/>
  <c r="AC118" i="5"/>
  <c r="G4" i="6"/>
  <c r="G3" i="3" s="1"/>
  <c r="P8" i="6"/>
  <c r="P7" i="3" s="1"/>
  <c r="F8" i="6"/>
  <c r="F7" i="3" s="1"/>
  <c r="P4" i="6"/>
  <c r="P3" i="3" s="1"/>
  <c r="E4" i="6"/>
  <c r="E3" i="3" s="1"/>
  <c r="G2" i="3"/>
  <c r="B118" i="5"/>
  <c r="X118" i="5"/>
  <c r="R118" i="5"/>
  <c r="AA118" i="5"/>
  <c r="J118" i="5"/>
  <c r="M118" i="5"/>
  <c r="O118" i="5"/>
  <c r="P118" i="5"/>
  <c r="Q8" i="6"/>
  <c r="Q7" i="3" s="1"/>
  <c r="T2" i="3"/>
  <c r="E8" i="6"/>
  <c r="E7" i="3" s="1"/>
  <c r="Q2" i="3"/>
  <c r="T4" i="6"/>
  <c r="T3" i="3" s="1"/>
  <c r="AD2" i="3"/>
  <c r="X4" i="6"/>
  <c r="X3" i="3" s="1"/>
  <c r="S2" i="3"/>
  <c r="AD118" i="5"/>
  <c r="V118" i="5"/>
  <c r="H118" i="5"/>
  <c r="E118" i="5"/>
  <c r="U118" i="5"/>
  <c r="C118" i="5"/>
  <c r="G118" i="5"/>
  <c r="K118" i="5"/>
  <c r="F118" i="5"/>
  <c r="W118" i="5"/>
  <c r="L2" i="3"/>
  <c r="C2" i="3"/>
  <c r="X8" i="6"/>
  <c r="X7" i="3" s="1"/>
  <c r="AD4" i="6"/>
  <c r="AD3" i="3" s="1"/>
  <c r="S8" i="6"/>
  <c r="S7" i="3" s="1"/>
  <c r="L8" i="6"/>
  <c r="L7" i="3" s="1"/>
  <c r="N118" i="5"/>
  <c r="T118" i="5"/>
  <c r="Q118" i="5"/>
  <c r="I118" i="5"/>
  <c r="Z118" i="5"/>
  <c r="L118" i="5"/>
  <c r="AB118" i="5"/>
  <c r="Y118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<sst xmlns="http://schemas.openxmlformats.org/spreadsheetml/2006/main" count="161" uniqueCount="119">
  <si>
    <t>Unit: dimensionless</t>
  </si>
  <si>
    <t>Sources:</t>
  </si>
  <si>
    <t>Notes</t>
  </si>
  <si>
    <t>FoVTStCT Fraction of Vehicle Types Subject to Carbon Tax</t>
  </si>
  <si>
    <t>This file controls which vehicle types are subject to carbon prices.</t>
  </si>
  <si>
    <t>LDVs</t>
  </si>
  <si>
    <t>HDVs</t>
  </si>
  <si>
    <t>aircraft</t>
  </si>
  <si>
    <t>rail</t>
  </si>
  <si>
    <t>ships</t>
  </si>
  <si>
    <t>motorbikes</t>
  </si>
  <si>
    <t>ETS Phase 3; aviation allowances</t>
  </si>
  <si>
    <t>auctioned</t>
  </si>
  <si>
    <t>free allocations</t>
  </si>
  <si>
    <t>reserved for new entrants/fast-growing airlines</t>
  </si>
  <si>
    <t>ETS 1 Price Projections</t>
  </si>
  <si>
    <t>Historical Forecast (Reuters Apr '23)</t>
  </si>
  <si>
    <t>Infl. Conversions</t>
  </si>
  <si>
    <t>2020€.</t>
  </si>
  <si>
    <t>Future Inflation Projections</t>
  </si>
  <si>
    <t>Currency Conversions</t>
  </si>
  <si>
    <t xml:space="preserve">"EU Allowances (EUAs) are expected to average 86.17 euros a tonne in 2023 and 96.19 euros in 2024, a Reuters </t>
  </si>
  <si>
    <r>
      <t>1 2019</t>
    </r>
    <r>
      <rPr>
        <sz val="11"/>
        <color theme="1"/>
        <rFont val="Calibri"/>
        <family val="2"/>
      </rPr>
      <t>€</t>
    </r>
    <r>
      <rPr>
        <sz val="11"/>
        <color theme="1"/>
        <rFont val="Gerstner Programm"/>
        <family val="2"/>
      </rPr>
      <t xml:space="preserve"> =</t>
    </r>
  </si>
  <si>
    <t>2021€.</t>
  </si>
  <si>
    <t>(link)</t>
  </si>
  <si>
    <t>jan</t>
  </si>
  <si>
    <t>survey of seven analysts showed. That is up 5.9% and 2.2% respectively from forecasts made in January.</t>
  </si>
  <si>
    <t>2022€.</t>
  </si>
  <si>
    <t>1 2019€ =</t>
  </si>
  <si>
    <t>2024€.</t>
  </si>
  <si>
    <t>1 EUR2019 =</t>
  </si>
  <si>
    <t>USD2019</t>
  </si>
  <si>
    <t>feb</t>
  </si>
  <si>
    <t>The forecast for average prices in 2025 rose by 2.5% to 104.84 euros/tonne."</t>
  </si>
  <si>
    <t>2023€.</t>
  </si>
  <si>
    <t>2025€.</t>
  </si>
  <si>
    <t>1 USD2019 =</t>
  </si>
  <si>
    <t>USD2012</t>
  </si>
  <si>
    <t>mar</t>
  </si>
  <si>
    <t>Next 5 Yrs</t>
  </si>
  <si>
    <t>2030€.</t>
  </si>
  <si>
    <t>apr</t>
  </si>
  <si>
    <t>Short-term Forecast (Reuters Jan '24)</t>
  </si>
  <si>
    <t>may</t>
  </si>
  <si>
    <t>EU Allowances (EUAs) are forecast on average at 74.11 euros a metric tonne in 2024 and 83.31 euros in 2025, a Reuters</t>
  </si>
  <si>
    <t>jun</t>
  </si>
  <si>
    <t>survey of nine analysts showed. That is down 11.3% and 6.3% respectively from forecasts made in October.</t>
  </si>
  <si>
    <t>jul</t>
  </si>
  <si>
    <t>The average forecast for 2026 was 100.13 euros a tonne, down 2.8% from the October forecast of 102.97 euros/tonne."</t>
  </si>
  <si>
    <t>aug</t>
  </si>
  <si>
    <t>sep</t>
  </si>
  <si>
    <t>Mid-term forecast (2025-2030)</t>
  </si>
  <si>
    <t>oct</t>
  </si>
  <si>
    <t>nov</t>
  </si>
  <si>
    <t>Plot dataset [Nominal EUR or Real EUR2022]:</t>
  </si>
  <si>
    <t>dec</t>
  </si>
  <si>
    <t>Enerdata</t>
  </si>
  <si>
    <t>Refinitiv</t>
  </si>
  <si>
    <t>ICIS</t>
  </si>
  <si>
    <t>CAKE</t>
  </si>
  <si>
    <t>BloombergNEF</t>
  </si>
  <si>
    <t>PIK</t>
  </si>
  <si>
    <t>Average</t>
  </si>
  <si>
    <t>y/o/y %increase</t>
  </si>
  <si>
    <t>€</t>
  </si>
  <si>
    <t>X</t>
  </si>
  <si>
    <t>Y</t>
  </si>
  <si>
    <t>Year</t>
  </si>
  <si>
    <t>Currently Forecasted Price under FF55 [real EUR]</t>
  </si>
  <si>
    <t>Price [EUR2019]</t>
  </si>
  <si>
    <t>BCTR [EUR2019]</t>
  </si>
  <si>
    <t>Additional Carbon Tax [EUR2019]</t>
  </si>
  <si>
    <t>FoPITY</t>
  </si>
  <si>
    <t>Time (Year)</t>
  </si>
  <si>
    <t>ETS2 Price [EUR 2019]</t>
  </si>
  <si>
    <t>ETS2 Price [USD 2012]</t>
  </si>
  <si>
    <t>EPS BAU Carbon Tax Rate</t>
  </si>
  <si>
    <t>fuels/BCTR [2019 EUR]</t>
  </si>
  <si>
    <t>EPS: fuels/BCTR [2012 USD]</t>
  </si>
  <si>
    <t>BCTR BAU Carbon Tax Rate[transportation sector] : NoSettings</t>
  </si>
  <si>
    <t>BCTR BAU Carbon Tax Rate[electricity sector] : NoSettings</t>
  </si>
  <si>
    <t>BCTR BAU Carbon Tax Rate[residential buildings sector] : NoSettings</t>
  </si>
  <si>
    <t>BCTR BAU Carbon Tax Rate[commercial buildings sector] : NoSettings</t>
  </si>
  <si>
    <t>BCTR BAU Carbon Tax Rate[industry sector] : NoSettings</t>
  </si>
  <si>
    <t>BCTR BAU Carbon Tax Rate[district heat and hydrogen sector] : NoSettings</t>
  </si>
  <si>
    <t>BCTR BAU Carbon Tax Rate[LULUCF sector] : NoSettings</t>
  </si>
  <si>
    <t>BCTR BAU Carbon Tax Rate[geoengineering sector] : NoSettings</t>
  </si>
  <si>
    <t>ETS 2 Price Projections</t>
  </si>
  <si>
    <t>https://europeanclimate.org/wp-content/uploads/2023/04/heat-pumps-full-report-ehpa-ecf.pdf</t>
  </si>
  <si>
    <t>ETS2 Forecast</t>
  </si>
  <si>
    <t>Price [nom EUR]</t>
  </si>
  <si>
    <t>Deflator</t>
  </si>
  <si>
    <t>Price [2019 EUR]</t>
  </si>
  <si>
    <t>*assume 2.5% future infl rate</t>
  </si>
  <si>
    <t xml:space="preserve"> = price pulled from source</t>
  </si>
  <si>
    <t>FF55 Scenario Setup</t>
  </si>
  <si>
    <t>BCTR</t>
  </si>
  <si>
    <t>Max Carbon Tax Rate (ETS1 or ETS2)</t>
  </si>
  <si>
    <t>ETS1 Multiplier</t>
  </si>
  <si>
    <t>ETS2 Multiplier</t>
  </si>
  <si>
    <t>Aviation Free Allowance Share</t>
  </si>
  <si>
    <t>International Carbon Action Partnership</t>
  </si>
  <si>
    <t>https://icapcarbonaction.com/system/files/ets_pdfs/icap-etsmap-factsheet-43.pdf</t>
  </si>
  <si>
    <t>Phase 3-4 share of free allowances</t>
  </si>
  <si>
    <t>In the EU, aviation is covered by ETS1.</t>
  </si>
  <si>
    <t>Road vehicles, covered by ETS2, are not included in the pre-FF55 BAU.</t>
  </si>
  <si>
    <t>ETS1 vs ETS2 Price Projections</t>
  </si>
  <si>
    <t>fuels/FoICStCT</t>
  </si>
  <si>
    <t>ETS Price Projections tab</t>
  </si>
  <si>
    <t>Phase 4; aviation allowances</t>
  </si>
  <si>
    <t>Free allocation reduced and phased out</t>
  </si>
  <si>
    <t>2026-on</t>
  </si>
  <si>
    <t>ETS Price [EUR 2023]</t>
  </si>
  <si>
    <t>fuels/BCTR [2023 EUR]</t>
  </si>
  <si>
    <t>ETS2 Price [EUR 2023]</t>
  </si>
  <si>
    <t>ETS Price [USD 2012]</t>
  </si>
  <si>
    <t>ETS Price [EUR 2019]</t>
  </si>
  <si>
    <t>Additional Tax Rate</t>
  </si>
  <si>
    <t>2023 Euros per 2012 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</si>
</sst>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164" formatCode="0.000"/>
    <numFmt numFmtId="165" formatCode="0.0%"/>
    <numFmt numFmtId="166" formatCode="[$€-2]\ #,##0.00"/>
    <numFmt numFmtId="167" formatCode="0.0"/>
    <numFmt numFmtId="168" formatCode="[$€-2]\ #,##0.00_);\([$€-2]\ #,##0.00\)"/>
    <numFmt numFmtId="169" formatCode="&quot;$&quot;#,##0.00"/>
    <numFmt numFmtId="173" formatCode="0.0000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  <charset val="161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color theme="1"/>
      <name val="Gerstner Programm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3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right" wrapText="1"/>
    </xf>
    <xf numFmtId="9" fontId="0" fillId="0" borderId="0" xfId="0" applyNumberFormat="1"/>
    <xf numFmtId="0" fontId="0" fillId="2" borderId="0" xfId="0" applyFill="1"/>
    <xf numFmtId="165" fontId="0" fillId="0" borderId="0" xfId="2" applyNumberFormat="1" applyFont="1"/>
    <xf numFmtId="2" fontId="0" fillId="0" borderId="0" xfId="0" applyNumberFormat="1"/>
    <xf numFmtId="0" fontId="1" fillId="2" borderId="0" xfId="0" applyFont="1" applyFill="1"/>
    <xf numFmtId="166" fontId="0" fillId="2" borderId="0" xfId="0" applyNumberFormat="1" applyFill="1"/>
    <xf numFmtId="164" fontId="7" fillId="2" borderId="0" xfId="0" applyNumberFormat="1" applyFont="1" applyFill="1"/>
    <xf numFmtId="2" fontId="0" fillId="2" borderId="0" xfId="0" applyNumberFormat="1" applyFill="1"/>
    <xf numFmtId="0" fontId="6" fillId="0" borderId="0" xfId="4"/>
    <xf numFmtId="0" fontId="6" fillId="0" borderId="1" xfId="4" applyBorder="1"/>
    <xf numFmtId="2" fontId="0" fillId="0" borderId="2" xfId="0" applyNumberFormat="1" applyBorder="1"/>
    <xf numFmtId="0" fontId="0" fillId="0" borderId="3" xfId="0" applyBorder="1"/>
    <xf numFmtId="0" fontId="0" fillId="0" borderId="1" xfId="0" applyBorder="1"/>
    <xf numFmtId="0" fontId="0" fillId="0" borderId="2" xfId="0" applyBorder="1"/>
    <xf numFmtId="0" fontId="4" fillId="0" borderId="0" xfId="0" applyFont="1"/>
    <xf numFmtId="0" fontId="0" fillId="0" borderId="4" xfId="0" applyBorder="1"/>
    <xf numFmtId="0" fontId="0" fillId="0" borderId="5" xfId="0" applyBorder="1"/>
    <xf numFmtId="0" fontId="6" fillId="0" borderId="4" xfId="4" applyBorder="1"/>
    <xf numFmtId="0" fontId="6" fillId="0" borderId="0" xfId="4" applyBorder="1"/>
    <xf numFmtId="165" fontId="0" fillId="0" borderId="0" xfId="2" applyNumberFormat="1" applyFont="1" applyBorder="1"/>
    <xf numFmtId="2" fontId="0" fillId="0" borderId="0" xfId="2" applyNumberFormat="1" applyFont="1" applyBorder="1"/>
    <xf numFmtId="0" fontId="0" fillId="0" borderId="6" xfId="0" applyBorder="1"/>
    <xf numFmtId="2" fontId="0" fillId="0" borderId="7" xfId="0" applyNumberFormat="1" applyBorder="1"/>
    <xf numFmtId="0" fontId="0" fillId="0" borderId="8" xfId="0" applyBorder="1"/>
    <xf numFmtId="0" fontId="0" fillId="0" borderId="7" xfId="0" applyBorder="1"/>
    <xf numFmtId="165" fontId="0" fillId="0" borderId="7" xfId="2" applyNumberFormat="1" applyFont="1" applyBorder="1"/>
    <xf numFmtId="2" fontId="0" fillId="0" borderId="7" xfId="2" applyNumberFormat="1" applyFont="1" applyBorder="1"/>
    <xf numFmtId="0" fontId="7" fillId="0" borderId="0" xfId="0" applyFont="1"/>
    <xf numFmtId="0" fontId="5" fillId="0" borderId="0" xfId="0" applyFont="1"/>
    <xf numFmtId="167" fontId="0" fillId="0" borderId="0" xfId="0" applyNumberFormat="1"/>
    <xf numFmtId="9" fontId="7" fillId="0" borderId="0" xfId="2" applyFont="1"/>
    <xf numFmtId="166" fontId="0" fillId="0" borderId="0" xfId="0" applyNumberFormat="1"/>
    <xf numFmtId="164" fontId="7" fillId="0" borderId="0" xfId="0" applyNumberFormat="1" applyFont="1"/>
    <xf numFmtId="168" fontId="0" fillId="0" borderId="0" xfId="0" applyNumberFormat="1"/>
    <xf numFmtId="169" fontId="0" fillId="0" borderId="0" xfId="3" applyNumberFormat="1" applyFont="1"/>
    <xf numFmtId="168" fontId="0" fillId="0" borderId="0" xfId="3" applyNumberFormat="1" applyFont="1"/>
    <xf numFmtId="0" fontId="0" fillId="3" borderId="0" xfId="0" applyFill="1"/>
    <xf numFmtId="168" fontId="0" fillId="3" borderId="0" xfId="0" applyNumberFormat="1" applyFill="1"/>
    <xf numFmtId="44" fontId="0" fillId="0" borderId="0" xfId="3" applyFont="1"/>
    <xf numFmtId="9" fontId="0" fillId="0" borderId="0" xfId="2" applyFont="1"/>
    <xf numFmtId="173" fontId="0" fillId="0" borderId="0" xfId="0" applyNumberFormat="1"/>
  </cellXfs>
  <cellStyles count="5">
    <cellStyle name="Currency" xfId="3" builtinId="4"/>
    <cellStyle name="Hyperlink" xfId="4" builtinId="8"/>
    <cellStyle name="Normal" xfId="0" builtinId="0"/>
    <cellStyle name="Normal 2" xfId="1" xr:uid="{6E9FC10A-7EC7-456E-8CAE-AFD069EE3505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Auction Projections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3"/>
          <c:order val="0"/>
          <c:tx>
            <c:v>Max Price</c:v>
          </c:tx>
          <c:spPr>
            <a:ln w="508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'fuels-FoICStCT Projections'!$B$112:$AD$112</c:f>
              <c:numCache>
                <c:formatCode>General</c:formatCode>
                <c:ptCount val="29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  <c:pt idx="10">
                  <c:v>2032</c:v>
                </c:pt>
                <c:pt idx="11">
                  <c:v>2033</c:v>
                </c:pt>
                <c:pt idx="12">
                  <c:v>2034</c:v>
                </c:pt>
                <c:pt idx="13">
                  <c:v>2035</c:v>
                </c:pt>
                <c:pt idx="14">
                  <c:v>2036</c:v>
                </c:pt>
                <c:pt idx="15">
                  <c:v>2037</c:v>
                </c:pt>
                <c:pt idx="16">
                  <c:v>2038</c:v>
                </c:pt>
                <c:pt idx="17">
                  <c:v>2039</c:v>
                </c:pt>
                <c:pt idx="18">
                  <c:v>2040</c:v>
                </c:pt>
                <c:pt idx="19">
                  <c:v>2041</c:v>
                </c:pt>
                <c:pt idx="20">
                  <c:v>2042</c:v>
                </c:pt>
                <c:pt idx="21">
                  <c:v>2043</c:v>
                </c:pt>
                <c:pt idx="22">
                  <c:v>2044</c:v>
                </c:pt>
                <c:pt idx="23">
                  <c:v>2045</c:v>
                </c:pt>
                <c:pt idx="24">
                  <c:v>2046</c:v>
                </c:pt>
                <c:pt idx="25">
                  <c:v>2047</c:v>
                </c:pt>
                <c:pt idx="26">
                  <c:v>2048</c:v>
                </c:pt>
                <c:pt idx="27">
                  <c:v>2049</c:v>
                </c:pt>
                <c:pt idx="28">
                  <c:v>2050</c:v>
                </c:pt>
              </c:numCache>
            </c:numRef>
          </c:xVal>
          <c:yVal>
            <c:numRef>
              <c:f>'fuels-FoICStCT Projections'!$B$114:$AD$114</c:f>
              <c:numCache>
                <c:formatCode>[$€-2]\ #,##0.00_);\([$€-2]\ #,##0.00\)</c:formatCode>
                <c:ptCount val="29"/>
                <c:pt idx="0">
                  <c:v>83.192047717284055</c:v>
                </c:pt>
                <c:pt idx="1">
                  <c:v>86.17</c:v>
                </c:pt>
                <c:pt idx="2">
                  <c:v>72.373046875</c:v>
                </c:pt>
                <c:pt idx="3">
                  <c:v>79.606087940313117</c:v>
                </c:pt>
                <c:pt idx="4">
                  <c:v>93.727239666975464</c:v>
                </c:pt>
                <c:pt idx="5">
                  <c:v>102.98730933541962</c:v>
                </c:pt>
                <c:pt idx="6">
                  <c:v>111.58646328276527</c:v>
                </c:pt>
                <c:pt idx="7">
                  <c:v>120.97445212303494</c:v>
                </c:pt>
                <c:pt idx="8">
                  <c:v>132.62609223197043</c:v>
                </c:pt>
                <c:pt idx="9">
                  <c:v>134.97689223197045</c:v>
                </c:pt>
                <c:pt idx="10">
                  <c:v>137.32769223197045</c:v>
                </c:pt>
                <c:pt idx="11">
                  <c:v>139.67849223197044</c:v>
                </c:pt>
                <c:pt idx="12">
                  <c:v>142.02929223197043</c:v>
                </c:pt>
                <c:pt idx="13">
                  <c:v>144.38009223197045</c:v>
                </c:pt>
                <c:pt idx="14">
                  <c:v>146.73089223197044</c:v>
                </c:pt>
                <c:pt idx="15">
                  <c:v>149.08169223197044</c:v>
                </c:pt>
                <c:pt idx="16">
                  <c:v>151.43249223197043</c:v>
                </c:pt>
                <c:pt idx="17">
                  <c:v>153.78329223197042</c:v>
                </c:pt>
                <c:pt idx="18">
                  <c:v>156.13409223197041</c:v>
                </c:pt>
                <c:pt idx="19">
                  <c:v>158.48489223197043</c:v>
                </c:pt>
                <c:pt idx="20">
                  <c:v>160.83569223197043</c:v>
                </c:pt>
                <c:pt idx="21">
                  <c:v>163.18649223197042</c:v>
                </c:pt>
                <c:pt idx="22">
                  <c:v>165.53729223197044</c:v>
                </c:pt>
                <c:pt idx="23">
                  <c:v>173.63645877606439</c:v>
                </c:pt>
                <c:pt idx="24">
                  <c:v>176.01312068833869</c:v>
                </c:pt>
                <c:pt idx="25">
                  <c:v>178.38978260061299</c:v>
                </c:pt>
                <c:pt idx="26">
                  <c:v>180.76644451288729</c:v>
                </c:pt>
                <c:pt idx="27">
                  <c:v>183.14310642516162</c:v>
                </c:pt>
                <c:pt idx="28">
                  <c:v>185.51976833743592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3C-46CB-8D9F-BEDD5ECCA88D}"/>
            </c:ext>
          </c:extLst>
        </c:ser>
        <c:ser>
          <c:idx val="0"/>
          <c:order val="1"/>
          <c:tx>
            <c:v>BAU ETS</c:v>
          </c:tx>
          <c:spPr>
            <a:ln w="19050" cap="rnd">
              <a:solidFill>
                <a:sysClr val="windowText" lastClr="00000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'fuels-FoICStCT Projections'!$B$4:$AF$4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xVal>
          <c:yVal>
            <c:numRef>
              <c:f>'fuels-FoICStCT Projections'!$B$6:$AF$6</c:f>
              <c:numCache>
                <c:formatCode>[$€-2]\ #,##0.00</c:formatCode>
                <c:ptCount val="31"/>
                <c:pt idx="0">
                  <c:v>29.366044709121375</c:v>
                </c:pt>
                <c:pt idx="1">
                  <c:v>41.139000000000003</c:v>
                </c:pt>
                <c:pt idx="2">
                  <c:v>41.139000000000003</c:v>
                </c:pt>
                <c:pt idx="3">
                  <c:v>41.139000000000003</c:v>
                </c:pt>
                <c:pt idx="4">
                  <c:v>41.139000000000003</c:v>
                </c:pt>
                <c:pt idx="5">
                  <c:v>41.139000000000003</c:v>
                </c:pt>
                <c:pt idx="6">
                  <c:v>44.665199999999999</c:v>
                </c:pt>
                <c:pt idx="7">
                  <c:v>48.191400000000002</c:v>
                </c:pt>
                <c:pt idx="8">
                  <c:v>51.717599999999997</c:v>
                </c:pt>
                <c:pt idx="9">
                  <c:v>55.2438</c:v>
                </c:pt>
                <c:pt idx="10">
                  <c:v>58.77</c:v>
                </c:pt>
                <c:pt idx="11">
                  <c:v>61.120800000000003</c:v>
                </c:pt>
                <c:pt idx="12">
                  <c:v>63.471600000000002</c:v>
                </c:pt>
                <c:pt idx="13">
                  <c:v>65.822400000000002</c:v>
                </c:pt>
                <c:pt idx="14">
                  <c:v>68.173199999999994</c:v>
                </c:pt>
                <c:pt idx="15">
                  <c:v>70.524000000000001</c:v>
                </c:pt>
                <c:pt idx="16">
                  <c:v>72.874799999999993</c:v>
                </c:pt>
                <c:pt idx="17">
                  <c:v>75.2256</c:v>
                </c:pt>
                <c:pt idx="18">
                  <c:v>77.576400000000007</c:v>
                </c:pt>
                <c:pt idx="19">
                  <c:v>79.927199999999999</c:v>
                </c:pt>
                <c:pt idx="20">
                  <c:v>82.278000000000006</c:v>
                </c:pt>
                <c:pt idx="21">
                  <c:v>84.628799999999998</c:v>
                </c:pt>
                <c:pt idx="22">
                  <c:v>86.979600000000005</c:v>
                </c:pt>
                <c:pt idx="23">
                  <c:v>89.330399999999997</c:v>
                </c:pt>
                <c:pt idx="24">
                  <c:v>91.681200000000004</c:v>
                </c:pt>
                <c:pt idx="25">
                  <c:v>94.031999999999996</c:v>
                </c:pt>
                <c:pt idx="26">
                  <c:v>96.382800000000003</c:v>
                </c:pt>
                <c:pt idx="27">
                  <c:v>98.733599999999996</c:v>
                </c:pt>
                <c:pt idx="28">
                  <c:v>101.0844</c:v>
                </c:pt>
                <c:pt idx="29">
                  <c:v>103.43519999999999</c:v>
                </c:pt>
                <c:pt idx="30">
                  <c:v>105.786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A3C-46CB-8D9F-BEDD5ECCA88D}"/>
            </c:ext>
          </c:extLst>
        </c:ser>
        <c:ser>
          <c:idx val="1"/>
          <c:order val="2"/>
          <c:tx>
            <c:v>ETS</c:v>
          </c:tx>
          <c:spPr>
            <a:ln w="19050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xVal>
            <c:numRef>
              <c:f>'fuels-FoICStCT Projections'!$B$64:$AF$64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xVal>
          <c:yVal>
            <c:numRef>
              <c:f>'fuels-FoICStCT Projections'!$B$67:$AF$67</c:f>
              <c:numCache>
                <c:formatCode>[$€-2]\ #,##0.00</c:formatCode>
                <c:ptCount val="31"/>
                <c:pt idx="0">
                  <c:v>29.366044709121375</c:v>
                </c:pt>
                <c:pt idx="1">
                  <c:v>62.883092353467376</c:v>
                </c:pt>
                <c:pt idx="2">
                  <c:v>83.192047717284055</c:v>
                </c:pt>
                <c:pt idx="3">
                  <c:v>86.17</c:v>
                </c:pt>
                <c:pt idx="4">
                  <c:v>72.373046875</c:v>
                </c:pt>
                <c:pt idx="5">
                  <c:v>79.606087940313117</c:v>
                </c:pt>
                <c:pt idx="6">
                  <c:v>93.727239666975464</c:v>
                </c:pt>
                <c:pt idx="7">
                  <c:v>102.98730933541962</c:v>
                </c:pt>
                <c:pt idx="8">
                  <c:v>111.58646328276527</c:v>
                </c:pt>
                <c:pt idx="9">
                  <c:v>120.97445212303494</c:v>
                </c:pt>
                <c:pt idx="10">
                  <c:v>132.62609223197043</c:v>
                </c:pt>
                <c:pt idx="11">
                  <c:v>134.97689223197045</c:v>
                </c:pt>
                <c:pt idx="12">
                  <c:v>137.32769223197045</c:v>
                </c:pt>
                <c:pt idx="13">
                  <c:v>139.67849223197044</c:v>
                </c:pt>
                <c:pt idx="14">
                  <c:v>142.02929223197043</c:v>
                </c:pt>
                <c:pt idx="15">
                  <c:v>144.38009223197045</c:v>
                </c:pt>
                <c:pt idx="16">
                  <c:v>146.73089223197044</c:v>
                </c:pt>
                <c:pt idx="17">
                  <c:v>149.08169223197044</c:v>
                </c:pt>
                <c:pt idx="18">
                  <c:v>151.43249223197043</c:v>
                </c:pt>
                <c:pt idx="19">
                  <c:v>153.78329223197042</c:v>
                </c:pt>
                <c:pt idx="20">
                  <c:v>156.13409223197041</c:v>
                </c:pt>
                <c:pt idx="21">
                  <c:v>158.48489223197043</c:v>
                </c:pt>
                <c:pt idx="22">
                  <c:v>160.83569223197043</c:v>
                </c:pt>
                <c:pt idx="23">
                  <c:v>163.18649223197042</c:v>
                </c:pt>
                <c:pt idx="24">
                  <c:v>165.53729223197044</c:v>
                </c:pt>
                <c:pt idx="25">
                  <c:v>167.88809223197043</c:v>
                </c:pt>
                <c:pt idx="26">
                  <c:v>170.23889223197042</c:v>
                </c:pt>
                <c:pt idx="27">
                  <c:v>172.58969223197042</c:v>
                </c:pt>
                <c:pt idx="28">
                  <c:v>174.94049223197044</c:v>
                </c:pt>
                <c:pt idx="29">
                  <c:v>177.29129223197043</c:v>
                </c:pt>
                <c:pt idx="30">
                  <c:v>179.64209223197042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A3C-46CB-8D9F-BEDD5ECCA88D}"/>
            </c:ext>
          </c:extLst>
        </c:ser>
        <c:ser>
          <c:idx val="2"/>
          <c:order val="3"/>
          <c:tx>
            <c:v>ETS 2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'fuels-FoICStCT Projections'!$D$64:$AF$64</c:f>
              <c:numCache>
                <c:formatCode>General</c:formatCode>
                <c:ptCount val="29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  <c:pt idx="10">
                  <c:v>2032</c:v>
                </c:pt>
                <c:pt idx="11">
                  <c:v>2033</c:v>
                </c:pt>
                <c:pt idx="12">
                  <c:v>2034</c:v>
                </c:pt>
                <c:pt idx="13">
                  <c:v>2035</c:v>
                </c:pt>
                <c:pt idx="14">
                  <c:v>2036</c:v>
                </c:pt>
                <c:pt idx="15">
                  <c:v>2037</c:v>
                </c:pt>
                <c:pt idx="16">
                  <c:v>2038</c:v>
                </c:pt>
                <c:pt idx="17">
                  <c:v>2039</c:v>
                </c:pt>
                <c:pt idx="18">
                  <c:v>2040</c:v>
                </c:pt>
                <c:pt idx="19">
                  <c:v>2041</c:v>
                </c:pt>
                <c:pt idx="20">
                  <c:v>2042</c:v>
                </c:pt>
                <c:pt idx="21">
                  <c:v>2043</c:v>
                </c:pt>
                <c:pt idx="22">
                  <c:v>2044</c:v>
                </c:pt>
                <c:pt idx="23">
                  <c:v>2045</c:v>
                </c:pt>
                <c:pt idx="24">
                  <c:v>2046</c:v>
                </c:pt>
                <c:pt idx="25">
                  <c:v>2047</c:v>
                </c:pt>
                <c:pt idx="26">
                  <c:v>2048</c:v>
                </c:pt>
                <c:pt idx="27">
                  <c:v>2049</c:v>
                </c:pt>
                <c:pt idx="28">
                  <c:v>2050</c:v>
                </c:pt>
              </c:numCache>
            </c:numRef>
          </c:xVal>
          <c:yVal>
            <c:numRef>
              <c:f>'fuels-FoICStCT Projections'!$B$93:$AD$93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10.099354136249914</c:v>
                </c:pt>
                <c:pt idx="6">
                  <c:v>10.099354136249914</c:v>
                </c:pt>
                <c:pt idx="7">
                  <c:v>10.099354136249914</c:v>
                </c:pt>
                <c:pt idx="8">
                  <c:v>10.099354136249914</c:v>
                </c:pt>
                <c:pt idx="9">
                  <c:v>21.826137618140383</c:v>
                </c:pt>
                <c:pt idx="10">
                  <c:v>33.552921100030851</c:v>
                </c:pt>
                <c:pt idx="11">
                  <c:v>45.279704581921315</c:v>
                </c:pt>
                <c:pt idx="12">
                  <c:v>57.006488063811794</c:v>
                </c:pt>
                <c:pt idx="13">
                  <c:v>68.733271545702266</c:v>
                </c:pt>
                <c:pt idx="14">
                  <c:v>78.181869496498649</c:v>
                </c:pt>
                <c:pt idx="15">
                  <c:v>87.630467447295047</c:v>
                </c:pt>
                <c:pt idx="16">
                  <c:v>97.079065398091416</c:v>
                </c:pt>
                <c:pt idx="17">
                  <c:v>106.5276633488878</c:v>
                </c:pt>
                <c:pt idx="18">
                  <c:v>115.97626129968418</c:v>
                </c:pt>
                <c:pt idx="19">
                  <c:v>127.50830079496023</c:v>
                </c:pt>
                <c:pt idx="20">
                  <c:v>139.04034029023626</c:v>
                </c:pt>
                <c:pt idx="21">
                  <c:v>150.57237978551231</c:v>
                </c:pt>
                <c:pt idx="22">
                  <c:v>162.10441928078833</c:v>
                </c:pt>
                <c:pt idx="23">
                  <c:v>173.63645877606439</c:v>
                </c:pt>
                <c:pt idx="24">
                  <c:v>176.01312068833869</c:v>
                </c:pt>
                <c:pt idx="25">
                  <c:v>178.38978260061299</c:v>
                </c:pt>
                <c:pt idx="26">
                  <c:v>180.76644451288729</c:v>
                </c:pt>
                <c:pt idx="27">
                  <c:v>183.14310642516162</c:v>
                </c:pt>
                <c:pt idx="28">
                  <c:v>185.51976833743592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A3C-46CB-8D9F-BEDD5ECCA8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0598864"/>
        <c:axId val="1400600784"/>
      </c:scatterChart>
      <c:valAx>
        <c:axId val="1400598864"/>
        <c:scaling>
          <c:orientation val="minMax"/>
          <c:max val="2050"/>
          <c:min val="202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0600784"/>
        <c:crosses val="autoZero"/>
        <c:crossBetween val="midCat"/>
      </c:valAx>
      <c:valAx>
        <c:axId val="140060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EUR 2023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€-2]\ #,##0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05988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30</xdr:row>
      <xdr:rowOff>0</xdr:rowOff>
    </xdr:from>
    <xdr:to>
      <xdr:col>4</xdr:col>
      <xdr:colOff>951191</xdr:colOff>
      <xdr:row>48</xdr:row>
      <xdr:rowOff>40728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CC6D57E-41E1-4CEE-AFE3-4898195F89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52675" y="2381250"/>
          <a:ext cx="5132666" cy="3298278"/>
        </a:xfrm>
        <a:prstGeom prst="rect">
          <a:avLst/>
        </a:prstGeom>
      </xdr:spPr>
    </xdr:pic>
    <xdr:clientData/>
  </xdr:twoCellAnchor>
  <xdr:twoCellAnchor editAs="oneCell">
    <xdr:from>
      <xdr:col>0</xdr:col>
      <xdr:colOff>299382</xdr:colOff>
      <xdr:row>71</xdr:row>
      <xdr:rowOff>86470</xdr:rowOff>
    </xdr:from>
    <xdr:to>
      <xdr:col>2</xdr:col>
      <xdr:colOff>761048</xdr:colOff>
      <xdr:row>88</xdr:row>
      <xdr:rowOff>30443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BB0F5D5-810C-48E9-B27E-060B419750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6207" y="12780120"/>
          <a:ext cx="4493916" cy="3020548"/>
        </a:xfrm>
        <a:prstGeom prst="rect">
          <a:avLst/>
        </a:prstGeom>
      </xdr:spPr>
    </xdr:pic>
    <xdr:clientData/>
  </xdr:twoCellAnchor>
  <xdr:twoCellAnchor>
    <xdr:from>
      <xdr:col>1</xdr:col>
      <xdr:colOff>1179794</xdr:colOff>
      <xdr:row>93</xdr:row>
      <xdr:rowOff>129988</xdr:rowOff>
    </xdr:from>
    <xdr:to>
      <xdr:col>5</xdr:col>
      <xdr:colOff>422650</xdr:colOff>
      <xdr:row>109</xdr:row>
      <xdr:rowOff>1307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87CC6D7-4507-49FB-B67D-245D19A67A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obbie/Dropbox%20(Energy%20InNovation)/My%20Documents/Policy%20Solutions%20Project/US/Models/eps-1.3.0-us/InputData/indst/BPEiC/BAU%20Process%20Emis%20in%20CO2e_Updated%20Velders%20Meth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mahajan/Documents/eps-us/InputData/elec/GBSC/PAGBSC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eghan/Documents/eps-us-analysis/InputData/indst/PERAC/Proc%20Emis%20Reductions%20and%20Costs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obrien\Dropbox%20(Energy%20Innovation)\Desktop\Models\E.U.%20Models\eps-eu\InputData\fuels\FoICStCT\Fraction%20of%20Industry%20Category%20Subject%20to%20Carbon%20Tax.xlsx" TargetMode="External"/><Relationship Id="rId1" Type="http://schemas.openxmlformats.org/officeDocument/2006/relationships/externalLinkPath" Target="/Users/dobrien/Dropbox%20(Energy%20Innovation)/Desktop/Models/E.U.%20Models/eps-eu/InputData/fuels/FoICStCT/Fraction%20of%20Industry%20Category%20Subject%20to%20Carbon%20Ta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Cross-Page Data"/>
      <sheetName val="Non-Energy FF CO2 Emissions"/>
      <sheetName val="Cement CO2 Emissions"/>
      <sheetName val="Iron and Steel"/>
      <sheetName val="Coal Mining"/>
      <sheetName val="Natural Gas Systems"/>
      <sheetName val="Petroleum Systems"/>
      <sheetName val="Chem - HCFC 22 Production"/>
      <sheetName val="Chem - ODS"/>
      <sheetName val="Other - Aluminum"/>
      <sheetName val="Other - Magnesium"/>
      <sheetName val="Other - Semiconductor Mfg"/>
      <sheetName val="Other - Elec Trans and Dist"/>
      <sheetName val="Agriculture - EF &amp; Manure Mgmt"/>
      <sheetName val="Agriculture - Rice Cultivation"/>
      <sheetName val="Agriculture - Soil Mgmt"/>
      <sheetName val="Waste - Landfills"/>
      <sheetName val="Waste - Water Treatment"/>
      <sheetName val="Other Industrial Processes"/>
      <sheetName val="Combined Data"/>
      <sheetName val="BPEiC-CO2"/>
      <sheetName val="BPEiC-CH4"/>
      <sheetName val="BPEiC-N2O"/>
      <sheetName val="BPEiC-F-gases"/>
      <sheetName val="EPA (2017) Table A3.6-1"/>
      <sheetName val="EPA (2017) Table A3.6-7"/>
      <sheetName val="EPA (2017) Table A3.6-10"/>
      <sheetName val="AEO 2017_Table 6"/>
      <sheetName val="AEO 2017_Table 11"/>
      <sheetName val="AEO 2017_Table 13"/>
      <sheetName val="AEO 2017_Table 15"/>
      <sheetName val="AEO 2017_Table 19"/>
      <sheetName val="AEO 2017_Table 20"/>
      <sheetName val="AEO 2017_Table 24"/>
      <sheetName val="AEO 2017_Table 62"/>
      <sheetName val="AEO 2016_Table 6"/>
    </sheetNames>
    <sheetDataSet>
      <sheetData sheetId="0"/>
      <sheetData sheetId="1">
        <row r="12">
          <cell r="C12">
            <v>28</v>
          </cell>
        </row>
        <row r="13">
          <cell r="C13">
            <v>265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>
        <row r="5">
          <cell r="A5" t="str">
            <v>Transport Refrigeration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2035 Report Deployment"/>
      <sheetName val="2035 Report Data"/>
      <sheetName val="EPS Output"/>
      <sheetName val="AEO Table 9"/>
      <sheetName val="AEO Table 9 (2019)"/>
      <sheetName val="AEO Table 16"/>
      <sheetName val="BGBSC"/>
      <sheetName val="PAGBSC"/>
      <sheetName val="SYGBSC"/>
    </sheetNames>
    <sheetDataSet>
      <sheetData sheetId="0">
        <row r="31">
          <cell r="A31">
            <v>1000</v>
          </cell>
        </row>
      </sheetData>
      <sheetData sheetId="1"/>
      <sheetData sheetId="2" refreshError="1"/>
      <sheetData sheetId="3" refreshError="1"/>
      <sheetData sheetId="4"/>
      <sheetData sheetId="5" refreshError="1"/>
      <sheetData sheetId="6" refreshError="1"/>
      <sheetData sheetId="7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Country Selector"/>
      <sheetName val="Multipliers and Adjustments"/>
      <sheetName val="EPA Data"/>
      <sheetName val="Tech to Policy Mapping"/>
      <sheetName val="SNAP Adjustment"/>
      <sheetName val="Cement Data"/>
      <sheetName val="Data Check"/>
      <sheetName val="PERAC-cement"/>
      <sheetName val="PERAC-ngps-mthncptr"/>
      <sheetName val="PERAC-ngps-mthndstr"/>
      <sheetName val="PERAC-fgassubstitution"/>
      <sheetName val="PERAC-fgasdestruction"/>
      <sheetName val="PERAC-fgasrecovery"/>
      <sheetName val="PERAC-inspctmaintretrofit"/>
      <sheetName val="PERAC-coalmining-mthncptr"/>
      <sheetName val="PERAC-coalmining-mthndstr"/>
      <sheetName val="PERAC-waste-mthncptr"/>
      <sheetName val="PERAC-waste-mthndstr"/>
      <sheetName val="PERAC-cropsrice"/>
      <sheetName val="PERAC-livestock"/>
      <sheetName val="PERAC-MCD"/>
    </sheetNames>
    <sheetDataSet>
      <sheetData sheetId="0">
        <row r="123">
          <cell r="A123">
            <v>1000000000000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bout"/>
      <sheetName val="Carbon Leakage Risk"/>
      <sheetName val="Allowance Schedule"/>
      <sheetName val="ETS Coverage"/>
      <sheetName val="ETS Price Projections"/>
      <sheetName val="Calcs"/>
      <sheetName val="FoICStCT"/>
    </sheetNames>
    <sheetDataSet>
      <sheetData sheetId="0">
        <row r="50">
          <cell r="B50">
            <v>0.9237749814519286</v>
          </cell>
        </row>
        <row r="51">
          <cell r="B51">
            <v>1.2847999999999999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flationtool.com/euro?amount=1000&amp;year1=2019&amp;year2=2021&amp;frequency=yearly" TargetMode="External"/><Relationship Id="rId3" Type="http://schemas.openxmlformats.org/officeDocument/2006/relationships/hyperlink" Target="https://www.in2013dollars.com/us/inflation/2012?endYear=2019&amp;amount=1000" TargetMode="External"/><Relationship Id="rId7" Type="http://schemas.openxmlformats.org/officeDocument/2006/relationships/hyperlink" Target="https://tradingeconomics.com/commodity/carbon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https://www.exchangerates.org.uk/EUR-USD-spot-exchange-rates-history-2019.html" TargetMode="External"/><Relationship Id="rId1" Type="http://schemas.openxmlformats.org/officeDocument/2006/relationships/hyperlink" Target="https://www.ecb.europa.eu/stats/ecb_surveys/survey_of_professional_forecasters/html/table_hist_hicp.en.html" TargetMode="External"/><Relationship Id="rId6" Type="http://schemas.openxmlformats.org/officeDocument/2006/relationships/hyperlink" Target="https://icapcarbonaction.com/en/ets/eu-emissions-trading-system-eu-ets" TargetMode="External"/><Relationship Id="rId11" Type="http://schemas.openxmlformats.org/officeDocument/2006/relationships/hyperlink" Target="https://www.in2013dollars.com/europe/inflation/2019?endYear=2030&amp;amount=100&amp;future_pct=0.025" TargetMode="External"/><Relationship Id="rId5" Type="http://schemas.openxmlformats.org/officeDocument/2006/relationships/hyperlink" Target="https://www.reuters.com/business/sustainable-business/analysts-raise-eu-carbon-price-forecasts-after-reform-agreement-2023-04-28/" TargetMode="External"/><Relationship Id="rId10" Type="http://schemas.openxmlformats.org/officeDocument/2006/relationships/hyperlink" Target="https://ariadneprojekt.de/media/2023/01/Ariadne-Documentation_ETSWorkshopBruessel_December2022.pdf" TargetMode="External"/><Relationship Id="rId4" Type="http://schemas.openxmlformats.org/officeDocument/2006/relationships/hyperlink" Target="https://www.reuters.com/business/sustainable-business/analysts-raise-eu-carbon-price-forecasts-after-reform-agreement-2023-04-28/" TargetMode="External"/><Relationship Id="rId9" Type="http://schemas.openxmlformats.org/officeDocument/2006/relationships/hyperlink" Target="https://tradingeconomics.com/commodity/carb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5FEEC-01CE-4291-999E-35B30A1256CF}">
  <dimension ref="A1:F16"/>
  <sheetViews>
    <sheetView workbookViewId="0">
      <selection activeCell="A11" sqref="A11"/>
    </sheetView>
  </sheetViews>
  <sheetFormatPr defaultRowHeight="14.5"/>
  <sheetData>
    <row r="1" spans="1:6">
      <c r="A1" s="1" t="s">
        <v>3</v>
      </c>
    </row>
    <row r="3" spans="1:6">
      <c r="A3" s="1" t="s">
        <v>1</v>
      </c>
      <c r="B3" s="10" t="s">
        <v>100</v>
      </c>
      <c r="C3" s="7"/>
      <c r="D3" s="7"/>
      <c r="E3" s="7"/>
      <c r="F3" s="7"/>
    </row>
    <row r="4" spans="1:6">
      <c r="A4" s="1"/>
      <c r="B4" t="s">
        <v>101</v>
      </c>
    </row>
    <row r="5" spans="1:6">
      <c r="A5" s="1"/>
      <c r="B5" t="s">
        <v>102</v>
      </c>
    </row>
    <row r="6" spans="1:6">
      <c r="A6" s="1"/>
      <c r="B6" t="s">
        <v>103</v>
      </c>
    </row>
    <row r="8" spans="1:6">
      <c r="B8" s="10" t="s">
        <v>106</v>
      </c>
      <c r="C8" s="7"/>
      <c r="D8" s="7"/>
      <c r="E8" s="7"/>
      <c r="F8" s="7"/>
    </row>
    <row r="9" spans="1:6">
      <c r="B9" t="s">
        <v>107</v>
      </c>
    </row>
    <row r="10" spans="1:6">
      <c r="B10" t="s">
        <v>108</v>
      </c>
    </row>
    <row r="12" spans="1:6">
      <c r="A12" s="1" t="s">
        <v>2</v>
      </c>
    </row>
    <row r="13" spans="1:6">
      <c r="A13" t="s">
        <v>4</v>
      </c>
    </row>
    <row r="14" spans="1:6">
      <c r="A14" t="s">
        <v>104</v>
      </c>
    </row>
    <row r="16" spans="1:6">
      <c r="A16" t="s">
        <v>105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E470D-7F91-4C07-AA99-4487395F5322}">
  <dimension ref="A1:B10"/>
  <sheetViews>
    <sheetView workbookViewId="0">
      <selection activeCell="F14" sqref="F14"/>
    </sheetView>
  </sheetViews>
  <sheetFormatPr defaultRowHeight="14.5"/>
  <cols>
    <col min="1" max="1" width="9.81640625" bestFit="1" customWidth="1"/>
  </cols>
  <sheetData>
    <row r="1" spans="1:2" s="7" customFormat="1">
      <c r="A1" s="7" t="s">
        <v>11</v>
      </c>
    </row>
    <row r="2" spans="1:2">
      <c r="A2" s="6">
        <v>0.15</v>
      </c>
      <c r="B2" t="s">
        <v>12</v>
      </c>
    </row>
    <row r="3" spans="1:2">
      <c r="A3" s="6">
        <v>0.82</v>
      </c>
      <c r="B3" t="s">
        <v>13</v>
      </c>
    </row>
    <row r="4" spans="1:2">
      <c r="A4" s="6">
        <v>0.03</v>
      </c>
      <c r="B4" t="s">
        <v>14</v>
      </c>
    </row>
    <row r="6" spans="1:2" s="7" customFormat="1">
      <c r="A6" s="7" t="s">
        <v>109</v>
      </c>
    </row>
    <row r="7" spans="1:2">
      <c r="A7" s="8" t="s">
        <v>110</v>
      </c>
    </row>
    <row r="8" spans="1:2">
      <c r="A8" s="45">
        <v>0.75</v>
      </c>
      <c r="B8">
        <v>2024</v>
      </c>
    </row>
    <row r="9" spans="1:2">
      <c r="A9" s="45">
        <v>0.5</v>
      </c>
      <c r="B9">
        <v>2025</v>
      </c>
    </row>
    <row r="10" spans="1:2">
      <c r="A10" s="45">
        <v>0</v>
      </c>
      <c r="B10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292C4-FA3F-490E-990F-9DE99A151F61}">
  <dimension ref="A1:AF118"/>
  <sheetViews>
    <sheetView topLeftCell="Q83" zoomScaleNormal="100" workbookViewId="0">
      <selection activeCell="B67" sqref="B67"/>
    </sheetView>
  </sheetViews>
  <sheetFormatPr defaultRowHeight="14.5"/>
  <cols>
    <col min="1" max="1" width="33.7265625" customWidth="1"/>
    <col min="2" max="2" width="24" customWidth="1"/>
    <col min="3" max="3" width="19.90625" customWidth="1"/>
    <col min="4" max="4" width="16" bestFit="1" customWidth="1"/>
    <col min="5" max="5" width="16.36328125" customWidth="1"/>
    <col min="6" max="6" width="17.7265625" customWidth="1"/>
    <col min="7" max="7" width="13.1796875" customWidth="1"/>
    <col min="8" max="18" width="11.26953125" bestFit="1" customWidth="1"/>
    <col min="19" max="30" width="10.08984375" bestFit="1" customWidth="1"/>
  </cols>
  <sheetData>
    <row r="1" spans="1:32" s="7" customFormat="1">
      <c r="A1" s="10" t="s">
        <v>76</v>
      </c>
      <c r="D1" s="11"/>
      <c r="E1" s="12"/>
      <c r="F1" s="13"/>
      <c r="G1" s="11"/>
      <c r="H1" s="12"/>
    </row>
    <row r="2" spans="1:32">
      <c r="D2" s="37"/>
      <c r="E2" s="38"/>
      <c r="F2" s="9"/>
      <c r="G2" s="37"/>
      <c r="H2" s="38"/>
    </row>
    <row r="3" spans="1:32">
      <c r="C3" s="1" t="s">
        <v>77</v>
      </c>
      <c r="F3" s="37"/>
      <c r="G3" s="38"/>
      <c r="H3" s="9"/>
      <c r="I3" s="37"/>
      <c r="J3" s="38"/>
    </row>
    <row r="4" spans="1:32">
      <c r="B4">
        <v>2020</v>
      </c>
      <c r="C4">
        <v>2021</v>
      </c>
      <c r="D4">
        <v>2022</v>
      </c>
      <c r="E4">
        <v>2023</v>
      </c>
      <c r="F4">
        <v>2024</v>
      </c>
      <c r="G4">
        <v>2025</v>
      </c>
      <c r="H4">
        <v>2026</v>
      </c>
      <c r="I4">
        <v>2027</v>
      </c>
      <c r="J4">
        <v>2028</v>
      </c>
      <c r="K4">
        <v>2029</v>
      </c>
      <c r="L4">
        <v>2030</v>
      </c>
      <c r="M4">
        <v>2031</v>
      </c>
      <c r="N4">
        <v>2032</v>
      </c>
      <c r="O4">
        <v>2033</v>
      </c>
      <c r="P4">
        <v>2034</v>
      </c>
      <c r="Q4">
        <v>2035</v>
      </c>
      <c r="R4">
        <v>2036</v>
      </c>
      <c r="S4">
        <v>2037</v>
      </c>
      <c r="T4">
        <v>2038</v>
      </c>
      <c r="U4">
        <v>2039</v>
      </c>
      <c r="V4">
        <v>2040</v>
      </c>
      <c r="W4">
        <v>2041</v>
      </c>
      <c r="X4">
        <v>2042</v>
      </c>
      <c r="Y4">
        <v>2043</v>
      </c>
      <c r="Z4">
        <v>2044</v>
      </c>
      <c r="AA4">
        <v>2045</v>
      </c>
      <c r="AB4">
        <v>2046</v>
      </c>
      <c r="AC4">
        <v>2047</v>
      </c>
      <c r="AD4">
        <v>2048</v>
      </c>
      <c r="AE4">
        <v>2049</v>
      </c>
      <c r="AF4">
        <v>2050</v>
      </c>
    </row>
    <row r="5" spans="1:32">
      <c r="A5" s="1" t="s">
        <v>77</v>
      </c>
      <c r="B5" s="37">
        <f>D52</f>
        <v>24.983873327481177</v>
      </c>
      <c r="C5" s="37">
        <v>35</v>
      </c>
      <c r="D5" s="37">
        <v>35</v>
      </c>
      <c r="E5" s="37">
        <v>35</v>
      </c>
      <c r="F5" s="37">
        <v>35</v>
      </c>
      <c r="G5" s="37">
        <v>35</v>
      </c>
      <c r="H5" s="37">
        <v>38</v>
      </c>
      <c r="I5" s="37">
        <v>41</v>
      </c>
      <c r="J5" s="37">
        <v>44</v>
      </c>
      <c r="K5" s="37">
        <v>47</v>
      </c>
      <c r="L5" s="37">
        <v>50</v>
      </c>
      <c r="M5" s="37">
        <v>52</v>
      </c>
      <c r="N5" s="37">
        <v>54</v>
      </c>
      <c r="O5" s="37">
        <v>56</v>
      </c>
      <c r="P5" s="37">
        <v>58</v>
      </c>
      <c r="Q5" s="37">
        <v>60</v>
      </c>
      <c r="R5" s="37">
        <v>62</v>
      </c>
      <c r="S5" s="37">
        <v>64</v>
      </c>
      <c r="T5" s="37">
        <v>66</v>
      </c>
      <c r="U5" s="37">
        <v>68</v>
      </c>
      <c r="V5" s="37">
        <v>70</v>
      </c>
      <c r="W5" s="37">
        <v>72</v>
      </c>
      <c r="X5" s="37">
        <v>74</v>
      </c>
      <c r="Y5" s="37">
        <v>76</v>
      </c>
      <c r="Z5" s="37">
        <v>78</v>
      </c>
      <c r="AA5" s="37">
        <v>80</v>
      </c>
      <c r="AB5" s="37">
        <v>82</v>
      </c>
      <c r="AC5" s="37">
        <v>84</v>
      </c>
      <c r="AD5" s="37">
        <v>86</v>
      </c>
      <c r="AE5" s="37">
        <v>88</v>
      </c>
      <c r="AF5" s="37">
        <v>90</v>
      </c>
    </row>
    <row r="6" spans="1:32">
      <c r="A6" s="1" t="s">
        <v>113</v>
      </c>
      <c r="B6" s="37">
        <f t="shared" ref="B6:AF6" si="0">B5*$F23</f>
        <v>29.366044709121375</v>
      </c>
      <c r="C6" s="37">
        <f t="shared" si="0"/>
        <v>41.139000000000003</v>
      </c>
      <c r="D6" s="37">
        <f t="shared" si="0"/>
        <v>41.139000000000003</v>
      </c>
      <c r="E6" s="37">
        <f t="shared" si="0"/>
        <v>41.139000000000003</v>
      </c>
      <c r="F6" s="37">
        <f t="shared" si="0"/>
        <v>41.139000000000003</v>
      </c>
      <c r="G6" s="37">
        <f t="shared" si="0"/>
        <v>41.139000000000003</v>
      </c>
      <c r="H6" s="37">
        <f t="shared" si="0"/>
        <v>44.665199999999999</v>
      </c>
      <c r="I6" s="37">
        <f t="shared" si="0"/>
        <v>48.191400000000002</v>
      </c>
      <c r="J6" s="37">
        <f t="shared" si="0"/>
        <v>51.717599999999997</v>
      </c>
      <c r="K6" s="37">
        <f t="shared" si="0"/>
        <v>55.2438</v>
      </c>
      <c r="L6" s="37">
        <f t="shared" si="0"/>
        <v>58.77</v>
      </c>
      <c r="M6" s="37">
        <f t="shared" si="0"/>
        <v>61.120800000000003</v>
      </c>
      <c r="N6" s="37">
        <f t="shared" si="0"/>
        <v>63.471600000000002</v>
      </c>
      <c r="O6" s="37">
        <f t="shared" si="0"/>
        <v>65.822400000000002</v>
      </c>
      <c r="P6" s="37">
        <f t="shared" si="0"/>
        <v>68.173199999999994</v>
      </c>
      <c r="Q6" s="37">
        <f t="shared" si="0"/>
        <v>70.524000000000001</v>
      </c>
      <c r="R6" s="37">
        <f t="shared" si="0"/>
        <v>72.874799999999993</v>
      </c>
      <c r="S6" s="37">
        <f t="shared" si="0"/>
        <v>75.2256</v>
      </c>
      <c r="T6" s="37">
        <f t="shared" si="0"/>
        <v>77.576400000000007</v>
      </c>
      <c r="U6" s="37">
        <f t="shared" si="0"/>
        <v>79.927199999999999</v>
      </c>
      <c r="V6" s="37">
        <f t="shared" si="0"/>
        <v>82.278000000000006</v>
      </c>
      <c r="W6" s="37">
        <f t="shared" si="0"/>
        <v>84.628799999999998</v>
      </c>
      <c r="X6" s="37">
        <f t="shared" si="0"/>
        <v>86.979600000000005</v>
      </c>
      <c r="Y6" s="37">
        <f t="shared" si="0"/>
        <v>89.330399999999997</v>
      </c>
      <c r="Z6" s="37">
        <f t="shared" si="0"/>
        <v>91.681200000000004</v>
      </c>
      <c r="AA6" s="37">
        <f t="shared" si="0"/>
        <v>94.031999999999996</v>
      </c>
      <c r="AB6" s="37">
        <f t="shared" si="0"/>
        <v>96.382800000000003</v>
      </c>
      <c r="AC6" s="37">
        <f t="shared" si="0"/>
        <v>98.733599999999996</v>
      </c>
      <c r="AD6" s="37">
        <f t="shared" si="0"/>
        <v>101.0844</v>
      </c>
      <c r="AE6" s="37">
        <f t="shared" si="0"/>
        <v>103.43519999999999</v>
      </c>
      <c r="AF6" s="37">
        <f t="shared" si="0"/>
        <v>105.786</v>
      </c>
    </row>
    <row r="7" spans="1:32">
      <c r="B7" s="1" t="s">
        <v>78</v>
      </c>
    </row>
    <row r="8" spans="1:32">
      <c r="B8" t="s">
        <v>73</v>
      </c>
      <c r="C8">
        <v>2022</v>
      </c>
      <c r="D8">
        <v>2023</v>
      </c>
      <c r="E8">
        <v>2024</v>
      </c>
      <c r="F8">
        <v>2025</v>
      </c>
      <c r="G8">
        <v>2026</v>
      </c>
      <c r="H8">
        <v>2027</v>
      </c>
      <c r="I8">
        <v>2028</v>
      </c>
      <c r="J8">
        <v>2029</v>
      </c>
      <c r="K8">
        <v>2030</v>
      </c>
      <c r="L8">
        <v>2031</v>
      </c>
      <c r="M8">
        <v>2032</v>
      </c>
      <c r="N8">
        <v>2033</v>
      </c>
      <c r="O8">
        <v>2034</v>
      </c>
      <c r="P8">
        <v>2035</v>
      </c>
      <c r="Q8">
        <v>2036</v>
      </c>
      <c r="R8">
        <v>2037</v>
      </c>
      <c r="S8">
        <v>2038</v>
      </c>
      <c r="T8">
        <v>2039</v>
      </c>
      <c r="U8">
        <v>2040</v>
      </c>
      <c r="V8">
        <v>2041</v>
      </c>
      <c r="W8">
        <v>2042</v>
      </c>
      <c r="X8">
        <v>2043</v>
      </c>
      <c r="Y8">
        <v>2044</v>
      </c>
      <c r="Z8">
        <v>2045</v>
      </c>
      <c r="AA8">
        <v>2046</v>
      </c>
      <c r="AB8">
        <v>2047</v>
      </c>
      <c r="AC8">
        <v>2048</v>
      </c>
      <c r="AD8">
        <v>2049</v>
      </c>
      <c r="AE8">
        <v>2050</v>
      </c>
    </row>
    <row r="9" spans="1:32">
      <c r="B9" t="s">
        <v>79</v>
      </c>
      <c r="C9">
        <v>41.5</v>
      </c>
      <c r="D9">
        <v>41.5</v>
      </c>
      <c r="E9">
        <v>41.5</v>
      </c>
      <c r="F9">
        <v>41.5</v>
      </c>
      <c r="G9">
        <v>45.1</v>
      </c>
      <c r="H9">
        <v>48.7</v>
      </c>
      <c r="I9">
        <v>52.2</v>
      </c>
      <c r="J9">
        <v>55.8</v>
      </c>
      <c r="K9">
        <v>59.3</v>
      </c>
      <c r="L9">
        <v>61.7</v>
      </c>
      <c r="M9">
        <v>64.099999999999994</v>
      </c>
      <c r="N9">
        <v>66.5</v>
      </c>
      <c r="O9">
        <v>68.8</v>
      </c>
      <c r="P9">
        <v>71.2</v>
      </c>
      <c r="Q9">
        <v>73.599999999999994</v>
      </c>
      <c r="R9">
        <v>76</v>
      </c>
      <c r="S9">
        <v>78.3</v>
      </c>
      <c r="T9">
        <v>80.7</v>
      </c>
      <c r="U9">
        <v>83.1</v>
      </c>
      <c r="V9">
        <v>85.5</v>
      </c>
      <c r="W9">
        <v>87.8</v>
      </c>
      <c r="X9">
        <v>90.2</v>
      </c>
      <c r="Y9">
        <v>92.6</v>
      </c>
      <c r="Z9">
        <v>94.9</v>
      </c>
      <c r="AA9">
        <v>97.3</v>
      </c>
      <c r="AB9">
        <v>99.7</v>
      </c>
      <c r="AC9">
        <v>102.1</v>
      </c>
      <c r="AD9">
        <v>104.4</v>
      </c>
      <c r="AE9">
        <v>106.8</v>
      </c>
    </row>
    <row r="10" spans="1:32">
      <c r="B10" t="s">
        <v>80</v>
      </c>
      <c r="C10">
        <v>41.5</v>
      </c>
      <c r="D10">
        <v>41.5</v>
      </c>
      <c r="E10">
        <v>41.5</v>
      </c>
      <c r="F10">
        <v>41.5</v>
      </c>
      <c r="G10">
        <v>45.1</v>
      </c>
      <c r="H10">
        <v>48.7</v>
      </c>
      <c r="I10">
        <v>52.2</v>
      </c>
      <c r="J10">
        <v>55.8</v>
      </c>
      <c r="K10">
        <v>59.3</v>
      </c>
      <c r="L10">
        <v>61.7</v>
      </c>
      <c r="M10">
        <v>64.099999999999994</v>
      </c>
      <c r="N10">
        <v>66.5</v>
      </c>
      <c r="O10">
        <v>68.8</v>
      </c>
      <c r="P10">
        <v>71.2</v>
      </c>
      <c r="Q10">
        <v>73.599999999999994</v>
      </c>
      <c r="R10">
        <v>76</v>
      </c>
      <c r="S10">
        <v>78.3</v>
      </c>
      <c r="T10">
        <v>80.7</v>
      </c>
      <c r="U10">
        <v>83.1</v>
      </c>
      <c r="V10">
        <v>85.5</v>
      </c>
      <c r="W10">
        <v>87.8</v>
      </c>
      <c r="X10">
        <v>90.2</v>
      </c>
      <c r="Y10">
        <v>92.6</v>
      </c>
      <c r="Z10">
        <v>94.9</v>
      </c>
      <c r="AA10">
        <v>97.3</v>
      </c>
      <c r="AB10">
        <v>99.7</v>
      </c>
      <c r="AC10">
        <v>102.1</v>
      </c>
      <c r="AD10">
        <v>104.4</v>
      </c>
      <c r="AE10">
        <v>106.8</v>
      </c>
    </row>
    <row r="11" spans="1:32">
      <c r="B11" t="s">
        <v>81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2">
      <c r="B12" t="s">
        <v>82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2">
      <c r="B13" t="s">
        <v>83</v>
      </c>
      <c r="C13">
        <v>41.5</v>
      </c>
      <c r="D13">
        <v>41.5</v>
      </c>
      <c r="E13">
        <v>41.5</v>
      </c>
      <c r="F13">
        <v>41.5</v>
      </c>
      <c r="G13">
        <v>45.1</v>
      </c>
      <c r="H13">
        <v>48.7</v>
      </c>
      <c r="I13">
        <v>52.2</v>
      </c>
      <c r="J13">
        <v>55.8</v>
      </c>
      <c r="K13">
        <v>59.3</v>
      </c>
      <c r="L13">
        <v>61.7</v>
      </c>
      <c r="M13">
        <v>64.099999999999994</v>
      </c>
      <c r="N13">
        <v>66.5</v>
      </c>
      <c r="O13">
        <v>68.8</v>
      </c>
      <c r="P13">
        <v>71.2</v>
      </c>
      <c r="Q13">
        <v>73.599999999999994</v>
      </c>
      <c r="R13">
        <v>76</v>
      </c>
      <c r="S13">
        <v>78.3</v>
      </c>
      <c r="T13">
        <v>80.7</v>
      </c>
      <c r="U13">
        <v>83.1</v>
      </c>
      <c r="V13">
        <v>85.5</v>
      </c>
      <c r="W13">
        <v>87.8</v>
      </c>
      <c r="X13">
        <v>90.2</v>
      </c>
      <c r="Y13">
        <v>92.6</v>
      </c>
      <c r="Z13">
        <v>94.9</v>
      </c>
      <c r="AA13">
        <v>97.3</v>
      </c>
      <c r="AB13">
        <v>99.7</v>
      </c>
      <c r="AC13">
        <v>102.1</v>
      </c>
      <c r="AD13">
        <v>104.4</v>
      </c>
      <c r="AE13">
        <v>106.8</v>
      </c>
    </row>
    <row r="14" spans="1:32">
      <c r="B14" t="s">
        <v>84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2">
      <c r="B15" t="s">
        <v>85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2">
      <c r="B16" t="s">
        <v>86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8" spans="1:29" s="7" customFormat="1">
      <c r="A18" s="10" t="s">
        <v>15</v>
      </c>
      <c r="D18" s="11"/>
      <c r="E18" s="12"/>
      <c r="F18" s="13"/>
      <c r="G18" s="11"/>
      <c r="H18" s="12"/>
    </row>
    <row r="19" spans="1:29" ht="15" thickBot="1"/>
    <row r="20" spans="1:29">
      <c r="B20" s="14" t="s">
        <v>16</v>
      </c>
      <c r="E20" s="15" t="s">
        <v>17</v>
      </c>
      <c r="F20" s="16">
        <v>1.00248</v>
      </c>
      <c r="G20" s="17" t="s">
        <v>18</v>
      </c>
      <c r="I20" s="18" t="s">
        <v>19</v>
      </c>
      <c r="J20" s="19"/>
      <c r="K20" s="19"/>
      <c r="L20" s="19"/>
      <c r="M20" s="19"/>
      <c r="N20" s="17"/>
      <c r="P20" s="18" t="s">
        <v>20</v>
      </c>
      <c r="Q20" s="19"/>
      <c r="R20" s="17"/>
    </row>
    <row r="21" spans="1:29">
      <c r="B21" s="20" t="s">
        <v>21</v>
      </c>
      <c r="E21" s="21" t="s">
        <v>22</v>
      </c>
      <c r="F21" s="9">
        <v>1.02844</v>
      </c>
      <c r="G21" s="22" t="s">
        <v>23</v>
      </c>
      <c r="I21" s="23" t="s">
        <v>24</v>
      </c>
      <c r="N21" s="22"/>
      <c r="P21" s="23" t="s">
        <v>24</v>
      </c>
      <c r="Q21" s="24" t="s">
        <v>24</v>
      </c>
      <c r="R21" s="22"/>
      <c r="AA21" s="14">
        <v>2020</v>
      </c>
      <c r="AB21" t="s">
        <v>25</v>
      </c>
      <c r="AC21">
        <v>23.88</v>
      </c>
    </row>
    <row r="22" spans="1:29">
      <c r="B22" s="20" t="s">
        <v>26</v>
      </c>
      <c r="E22" s="21" t="s">
        <v>22</v>
      </c>
      <c r="F22" s="9">
        <v>1.1149</v>
      </c>
      <c r="G22" s="22" t="s">
        <v>27</v>
      </c>
      <c r="I22" s="21">
        <v>2024</v>
      </c>
      <c r="J22" s="25">
        <v>2.4E-2</v>
      </c>
      <c r="K22" s="25"/>
      <c r="L22" s="25" t="s">
        <v>28</v>
      </c>
      <c r="M22" s="26">
        <f>F23*(1+J22)</f>
        <v>1.2036096000000001</v>
      </c>
      <c r="N22" s="22" t="s">
        <v>29</v>
      </c>
      <c r="P22" s="21" t="s">
        <v>30</v>
      </c>
      <c r="Q22">
        <v>1.1198999999999999</v>
      </c>
      <c r="R22" s="22" t="s">
        <v>31</v>
      </c>
      <c r="AB22" t="s">
        <v>32</v>
      </c>
      <c r="AC22">
        <v>23.61</v>
      </c>
    </row>
    <row r="23" spans="1:29" ht="15" thickBot="1">
      <c r="B23" s="20" t="s">
        <v>33</v>
      </c>
      <c r="E23" s="27" t="s">
        <v>22</v>
      </c>
      <c r="F23" s="28">
        <v>1.1754</v>
      </c>
      <c r="G23" s="29" t="s">
        <v>34</v>
      </c>
      <c r="I23" s="21">
        <v>2025</v>
      </c>
      <c r="J23" s="25">
        <v>2.1999999999999999E-2</v>
      </c>
      <c r="K23" s="25"/>
      <c r="L23" s="25" t="s">
        <v>28</v>
      </c>
      <c r="M23" s="26">
        <f>M22*(1+J23)</f>
        <v>1.2300890112</v>
      </c>
      <c r="N23" s="22" t="s">
        <v>35</v>
      </c>
      <c r="P23" s="27" t="s">
        <v>36</v>
      </c>
      <c r="Q23" s="30">
        <f>1/1.1135</f>
        <v>0.89806915132465204</v>
      </c>
      <c r="R23" s="29" t="s">
        <v>37</v>
      </c>
      <c r="AB23" t="s">
        <v>38</v>
      </c>
      <c r="AC23">
        <v>17.68</v>
      </c>
    </row>
    <row r="24" spans="1:29" ht="15" thickBot="1">
      <c r="I24" s="27" t="s">
        <v>39</v>
      </c>
      <c r="J24" s="31">
        <v>0.02</v>
      </c>
      <c r="K24" s="31"/>
      <c r="L24" s="31" t="s">
        <v>28</v>
      </c>
      <c r="M24" s="32">
        <f>M23*(1+J24)^5</f>
        <v>1.3581176634931897</v>
      </c>
      <c r="N24" s="29" t="s">
        <v>40</v>
      </c>
      <c r="AB24" t="s">
        <v>41</v>
      </c>
      <c r="AC24">
        <v>19.57</v>
      </c>
    </row>
    <row r="25" spans="1:29">
      <c r="B25" s="14" t="s">
        <v>42</v>
      </c>
      <c r="Q25">
        <v>0.81612960000000001</v>
      </c>
      <c r="R25" t="s">
        <v>118</v>
      </c>
      <c r="AB25" t="s">
        <v>43</v>
      </c>
      <c r="AC25">
        <v>21.4</v>
      </c>
    </row>
    <row r="26" spans="1:29">
      <c r="B26" s="20" t="s">
        <v>44</v>
      </c>
      <c r="AB26" t="s">
        <v>45</v>
      </c>
      <c r="AC26">
        <v>26.97</v>
      </c>
    </row>
    <row r="27" spans="1:29">
      <c r="B27" s="20" t="s">
        <v>46</v>
      </c>
      <c r="AB27" t="s">
        <v>47</v>
      </c>
      <c r="AC27">
        <v>26.28</v>
      </c>
    </row>
    <row r="28" spans="1:29">
      <c r="B28" s="20" t="s">
        <v>48</v>
      </c>
      <c r="AB28" t="s">
        <v>49</v>
      </c>
      <c r="AC28">
        <v>28.66</v>
      </c>
    </row>
    <row r="29" spans="1:29">
      <c r="AB29" t="s">
        <v>50</v>
      </c>
      <c r="AC29">
        <v>26.93</v>
      </c>
    </row>
    <row r="30" spans="1:29">
      <c r="B30" s="14" t="s">
        <v>51</v>
      </c>
      <c r="AB30" t="s">
        <v>52</v>
      </c>
      <c r="AC30">
        <v>23.71</v>
      </c>
    </row>
    <row r="31" spans="1:29">
      <c r="V31">
        <v>1.182841</v>
      </c>
      <c r="AB31" t="s">
        <v>53</v>
      </c>
      <c r="AC31">
        <v>29.14</v>
      </c>
    </row>
    <row r="32" spans="1:29">
      <c r="G32" s="1" t="s">
        <v>54</v>
      </c>
      <c r="AB32" t="s">
        <v>55</v>
      </c>
      <c r="AC32">
        <v>32.72</v>
      </c>
    </row>
    <row r="33" spans="4:29">
      <c r="G33" t="s">
        <v>56</v>
      </c>
      <c r="I33" t="s">
        <v>57</v>
      </c>
      <c r="K33" t="s">
        <v>58</v>
      </c>
      <c r="M33" t="s">
        <v>59</v>
      </c>
      <c r="O33" t="s">
        <v>60</v>
      </c>
      <c r="Q33" t="s">
        <v>61</v>
      </c>
      <c r="S33" t="s">
        <v>62</v>
      </c>
      <c r="U33" s="33" t="s">
        <v>63</v>
      </c>
      <c r="AA33" s="14">
        <v>2021</v>
      </c>
      <c r="AB33" t="s">
        <v>25</v>
      </c>
      <c r="AC33">
        <v>32.950000000000003</v>
      </c>
    </row>
    <row r="34" spans="4:29">
      <c r="D34" s="34" t="s">
        <v>64</v>
      </c>
      <c r="G34" t="s">
        <v>65</v>
      </c>
      <c r="H34" t="s">
        <v>66</v>
      </c>
      <c r="I34" t="s">
        <v>65</v>
      </c>
      <c r="J34" t="s">
        <v>66</v>
      </c>
      <c r="K34" t="s">
        <v>65</v>
      </c>
      <c r="L34" t="s">
        <v>66</v>
      </c>
      <c r="M34" t="s">
        <v>65</v>
      </c>
      <c r="N34" t="s">
        <v>66</v>
      </c>
      <c r="O34" t="s">
        <v>65</v>
      </c>
      <c r="P34" t="s">
        <v>66</v>
      </c>
      <c r="Q34" t="s">
        <v>65</v>
      </c>
      <c r="R34" t="s">
        <v>66</v>
      </c>
      <c r="S34" t="s">
        <v>65</v>
      </c>
      <c r="T34" t="s">
        <v>66</v>
      </c>
      <c r="U34" s="33"/>
      <c r="AB34" t="s">
        <v>32</v>
      </c>
      <c r="AC34">
        <v>37.28</v>
      </c>
    </row>
    <row r="35" spans="4:29">
      <c r="G35">
        <v>2025</v>
      </c>
      <c r="H35">
        <v>56</v>
      </c>
      <c r="I35">
        <v>2025</v>
      </c>
      <c r="J35">
        <v>76</v>
      </c>
      <c r="K35">
        <v>2025</v>
      </c>
      <c r="L35">
        <v>77.58</v>
      </c>
      <c r="M35">
        <v>2025</v>
      </c>
      <c r="N35">
        <v>85</v>
      </c>
      <c r="O35">
        <v>2025</v>
      </c>
      <c r="P35">
        <v>105.75</v>
      </c>
      <c r="Q35">
        <v>2025</v>
      </c>
      <c r="R35">
        <f>94*V31</f>
        <v>111.187054</v>
      </c>
      <c r="S35">
        <v>2025</v>
      </c>
      <c r="T35">
        <f>AVERAGE(H35,J35,L35,N35,P35,R35)</f>
        <v>85.252842333333334</v>
      </c>
      <c r="U35" s="33"/>
      <c r="V35" s="35"/>
      <c r="AB35" t="s">
        <v>38</v>
      </c>
      <c r="AC35">
        <v>42.55</v>
      </c>
    </row>
    <row r="36" spans="4:29">
      <c r="G36">
        <v>2026</v>
      </c>
      <c r="H36">
        <v>73</v>
      </c>
      <c r="I36">
        <v>2026</v>
      </c>
      <c r="J36">
        <v>84</v>
      </c>
      <c r="K36">
        <v>2026</v>
      </c>
      <c r="L36">
        <v>81.08</v>
      </c>
      <c r="M36">
        <v>2026</v>
      </c>
      <c r="N36">
        <f>N$35+(N$40-N$35)*(M36-M$35)/(M$40-M$35)</f>
        <v>97.8</v>
      </c>
      <c r="O36">
        <v>2026</v>
      </c>
      <c r="P36">
        <v>118.53</v>
      </c>
      <c r="Q36">
        <v>2026</v>
      </c>
      <c r="R36">
        <f>99*V31</f>
        <v>117.101259</v>
      </c>
      <c r="S36">
        <v>2026</v>
      </c>
      <c r="T36">
        <f t="shared" ref="T36:T40" si="1">AVERAGE(H36,J36,L36,N36,P36,R36)</f>
        <v>95.251876499999995</v>
      </c>
      <c r="U36" s="36">
        <f>(T36-T35)/T35</f>
        <v>0.11728681288503034</v>
      </c>
      <c r="V36" s="35"/>
      <c r="AB36" t="s">
        <v>41</v>
      </c>
      <c r="AC36">
        <v>48.84</v>
      </c>
    </row>
    <row r="37" spans="4:29">
      <c r="G37">
        <v>2027</v>
      </c>
      <c r="H37">
        <v>92</v>
      </c>
      <c r="I37">
        <v>2027</v>
      </c>
      <c r="J37">
        <v>96</v>
      </c>
      <c r="K37">
        <v>2027</v>
      </c>
      <c r="L37">
        <v>84.29</v>
      </c>
      <c r="M37">
        <v>2027</v>
      </c>
      <c r="N37">
        <f>N$35+(N$40-N$35)*(M37-M$35)/(M$40-M$35)</f>
        <v>110.6</v>
      </c>
      <c r="O37">
        <v>2027</v>
      </c>
      <c r="P37">
        <v>122.07</v>
      </c>
      <c r="Q37">
        <v>2027</v>
      </c>
      <c r="R37">
        <f>104*V31</f>
        <v>123.01546400000001</v>
      </c>
      <c r="S37">
        <v>2027</v>
      </c>
      <c r="T37">
        <f t="shared" si="1"/>
        <v>104.66257733333333</v>
      </c>
      <c r="U37" s="36">
        <f t="shared" ref="U37:U40" si="2">(T37-T36)/T36</f>
        <v>9.8798062349284399E-2</v>
      </c>
      <c r="V37" s="35"/>
      <c r="AB37" t="s">
        <v>43</v>
      </c>
      <c r="AC37">
        <v>51.7</v>
      </c>
    </row>
    <row r="38" spans="4:29">
      <c r="G38">
        <v>2028</v>
      </c>
      <c r="H38">
        <v>113</v>
      </c>
      <c r="I38">
        <v>2028</v>
      </c>
      <c r="J38">
        <v>106</v>
      </c>
      <c r="K38">
        <v>2028</v>
      </c>
      <c r="L38">
        <v>85.51</v>
      </c>
      <c r="M38">
        <v>2028</v>
      </c>
      <c r="N38">
        <f>N$35+(N$40-N$35)*(M38-M$35)/(M$40-M$35)</f>
        <v>123.4</v>
      </c>
      <c r="O38">
        <v>2028</v>
      </c>
      <c r="P38">
        <v>123.57</v>
      </c>
      <c r="Q38">
        <v>2028</v>
      </c>
      <c r="R38">
        <f>109*V31</f>
        <v>128.92966899999999</v>
      </c>
      <c r="S38">
        <v>2028</v>
      </c>
      <c r="T38">
        <f t="shared" si="1"/>
        <v>113.4016115</v>
      </c>
      <c r="U38" s="36">
        <f t="shared" si="2"/>
        <v>8.3497219248043777E-2</v>
      </c>
      <c r="V38" s="35"/>
      <c r="AB38" t="s">
        <v>45</v>
      </c>
      <c r="AC38">
        <v>56.37</v>
      </c>
    </row>
    <row r="39" spans="4:29">
      <c r="G39">
        <v>2029</v>
      </c>
      <c r="H39">
        <v>136</v>
      </c>
      <c r="I39">
        <v>2029</v>
      </c>
      <c r="J39">
        <v>116</v>
      </c>
      <c r="K39">
        <v>2029</v>
      </c>
      <c r="L39">
        <v>82.93</v>
      </c>
      <c r="M39">
        <v>2029</v>
      </c>
      <c r="N39">
        <f>N$35+(N$40-N$35)*(M39-M$35)/(M$40-M$35)</f>
        <v>136.19999999999999</v>
      </c>
      <c r="O39">
        <v>2029</v>
      </c>
      <c r="P39">
        <v>131.68</v>
      </c>
      <c r="Q39">
        <v>2029</v>
      </c>
      <c r="R39">
        <f>114*V31</f>
        <v>134.843874</v>
      </c>
      <c r="S39">
        <v>2029</v>
      </c>
      <c r="T39">
        <f t="shared" si="1"/>
        <v>122.94231233333333</v>
      </c>
      <c r="U39" s="36">
        <f t="shared" si="2"/>
        <v>8.4131968736029225E-2</v>
      </c>
      <c r="V39" s="35"/>
      <c r="AB39" t="s">
        <v>47</v>
      </c>
      <c r="AC39">
        <v>53.33</v>
      </c>
    </row>
    <row r="40" spans="4:29">
      <c r="G40">
        <v>2030</v>
      </c>
      <c r="H40">
        <v>160</v>
      </c>
      <c r="I40">
        <v>2030</v>
      </c>
      <c r="J40">
        <v>127</v>
      </c>
      <c r="K40">
        <v>2030</v>
      </c>
      <c r="L40">
        <v>83.54</v>
      </c>
      <c r="M40">
        <v>2030</v>
      </c>
      <c r="N40">
        <v>149</v>
      </c>
      <c r="O40">
        <v>2030</v>
      </c>
      <c r="P40">
        <v>147.22</v>
      </c>
      <c r="Q40">
        <v>2030</v>
      </c>
      <c r="R40">
        <f>120*V31</f>
        <v>141.94092000000001</v>
      </c>
      <c r="S40">
        <v>2030</v>
      </c>
      <c r="T40">
        <f t="shared" si="1"/>
        <v>134.78348666666668</v>
      </c>
      <c r="U40" s="36">
        <f t="shared" si="2"/>
        <v>9.6314882228897572E-2</v>
      </c>
      <c r="V40" s="35"/>
      <c r="AB40" t="s">
        <v>49</v>
      </c>
      <c r="AC40">
        <v>60.76</v>
      </c>
    </row>
    <row r="41" spans="4:29">
      <c r="AB41" t="s">
        <v>50</v>
      </c>
      <c r="AC41">
        <v>61.74</v>
      </c>
    </row>
    <row r="42" spans="4:29">
      <c r="AB42" t="s">
        <v>52</v>
      </c>
      <c r="AC42">
        <v>58.71</v>
      </c>
    </row>
    <row r="43" spans="4:29">
      <c r="AB43" t="s">
        <v>53</v>
      </c>
      <c r="AC43">
        <v>75.37</v>
      </c>
    </row>
    <row r="44" spans="4:29">
      <c r="AB44" t="s">
        <v>55</v>
      </c>
      <c r="AC44">
        <v>80.650000000000006</v>
      </c>
    </row>
    <row r="51" spans="1:32">
      <c r="B51" t="s">
        <v>67</v>
      </c>
      <c r="C51" t="s">
        <v>68</v>
      </c>
      <c r="D51" t="s">
        <v>69</v>
      </c>
      <c r="F51" t="s">
        <v>70</v>
      </c>
      <c r="G51" t="s">
        <v>71</v>
      </c>
      <c r="H51" t="s">
        <v>72</v>
      </c>
    </row>
    <row r="52" spans="1:32">
      <c r="B52">
        <v>2020</v>
      </c>
      <c r="C52" s="9">
        <f>AVERAGE(AC21:AC32)</f>
        <v>25.045833333333331</v>
      </c>
      <c r="D52" s="37">
        <f>C52/F20</f>
        <v>24.983873327481177</v>
      </c>
    </row>
    <row r="53" spans="1:32">
      <c r="B53">
        <v>2021</v>
      </c>
      <c r="C53" s="9">
        <f>AVERAGE(AC33:AC44)</f>
        <v>55.020833333333321</v>
      </c>
      <c r="D53" s="37">
        <f>C53/F21</f>
        <v>53.499312875163668</v>
      </c>
      <c r="E53" s="38">
        <f>D53/MAX(D$55:D$62)</f>
        <v>0.47413816765015843</v>
      </c>
      <c r="F53" s="9" cm="1">
        <f t="array" ref="F53:F62">TRANSPOSE(C5:L5)</f>
        <v>35</v>
      </c>
      <c r="G53" s="37">
        <f t="shared" ref="G53:G62" si="3">D53-F53</f>
        <v>18.499312875163668</v>
      </c>
      <c r="H53" s="38">
        <f t="shared" ref="H53:H54" si="4">G53/MAX(G$55:G$62)</f>
        <v>0.29441162802348897</v>
      </c>
    </row>
    <row r="54" spans="1:32">
      <c r="B54">
        <v>2022</v>
      </c>
      <c r="C54" s="14">
        <v>78.91</v>
      </c>
      <c r="D54" s="37">
        <f>C54/F22</f>
        <v>70.777648219571262</v>
      </c>
      <c r="E54" s="38">
        <f t="shared" ref="E54:E62" si="5">D54/MAX(D$55:D$62)</f>
        <v>0.62726757847751802</v>
      </c>
      <c r="F54" s="9">
        <v>35</v>
      </c>
      <c r="G54" s="37">
        <f t="shared" si="3"/>
        <v>35.777648219571262</v>
      </c>
      <c r="H54" s="38">
        <f t="shared" si="4"/>
        <v>0.56939172445249353</v>
      </c>
    </row>
    <row r="55" spans="1:32">
      <c r="B55">
        <v>2023</v>
      </c>
      <c r="C55">
        <v>86.17</v>
      </c>
      <c r="D55" s="37">
        <f>C55/F23</f>
        <v>73.311213204015658</v>
      </c>
      <c r="E55" s="38">
        <f t="shared" si="5"/>
        <v>0.64972132217606071</v>
      </c>
      <c r="F55" s="9">
        <v>35</v>
      </c>
      <c r="G55" s="37">
        <f t="shared" si="3"/>
        <v>38.311213204015658</v>
      </c>
      <c r="H55" s="38">
        <f>G55/MAX(G$55:G$62)</f>
        <v>0.60971273511959811</v>
      </c>
    </row>
    <row r="56" spans="1:32">
      <c r="B56">
        <v>2024</v>
      </c>
      <c r="C56">
        <v>74.11</v>
      </c>
      <c r="D56" s="37">
        <f>C56/M22</f>
        <v>61.573121384209628</v>
      </c>
      <c r="E56" s="38">
        <f t="shared" si="5"/>
        <v>0.5456923721194733</v>
      </c>
      <c r="F56" s="9">
        <v>35</v>
      </c>
      <c r="G56" s="37">
        <f t="shared" si="3"/>
        <v>26.573121384209628</v>
      </c>
      <c r="H56" s="38">
        <f t="shared" ref="H56:H62" si="6">G56/MAX(G$55:G$62)</f>
        <v>0.42290413601763194</v>
      </c>
    </row>
    <row r="57" spans="1:32">
      <c r="B57">
        <v>2025</v>
      </c>
      <c r="C57">
        <v>83.31</v>
      </c>
      <c r="D57" s="37">
        <f>C57/M23</f>
        <v>67.726806142856148</v>
      </c>
      <c r="E57" s="38">
        <f t="shared" si="5"/>
        <v>0.60022946164377389</v>
      </c>
      <c r="F57" s="9">
        <v>35</v>
      </c>
      <c r="G57" s="37">
        <f t="shared" si="3"/>
        <v>32.726806142856148</v>
      </c>
      <c r="H57" s="38">
        <f t="shared" si="6"/>
        <v>0.52083838689290529</v>
      </c>
    </row>
    <row r="58" spans="1:32">
      <c r="B58">
        <v>2026</v>
      </c>
      <c r="C58">
        <v>100.13</v>
      </c>
      <c r="D58" s="37">
        <f>C58/(M23+(M24-M23)/5)</f>
        <v>79.740717770099934</v>
      </c>
      <c r="E58" s="38">
        <f t="shared" si="5"/>
        <v>0.70670286735917154</v>
      </c>
      <c r="F58" s="9">
        <v>38</v>
      </c>
      <c r="G58" s="37">
        <f t="shared" si="3"/>
        <v>41.740717770099934</v>
      </c>
      <c r="H58" s="38">
        <f t="shared" si="6"/>
        <v>0.66429238515462286</v>
      </c>
    </row>
    <row r="59" spans="1:32">
      <c r="B59">
        <v>2027</v>
      </c>
      <c r="D59" s="37">
        <f>D58*(1+U37)</f>
        <v>87.618946176126954</v>
      </c>
      <c r="E59" s="38">
        <f t="shared" si="5"/>
        <v>0.77652374131094104</v>
      </c>
      <c r="F59" s="9">
        <v>41</v>
      </c>
      <c r="G59" s="37">
        <f t="shared" si="3"/>
        <v>46.618946176126954</v>
      </c>
      <c r="H59" s="38">
        <f t="shared" si="6"/>
        <v>0.7419280885226669</v>
      </c>
    </row>
    <row r="60" spans="1:32">
      <c r="B60">
        <v>2028</v>
      </c>
      <c r="D60" s="37">
        <f>D59*(1+U38)</f>
        <v>94.934884535277575</v>
      </c>
      <c r="E60" s="38">
        <f t="shared" si="5"/>
        <v>0.84136131439049189</v>
      </c>
      <c r="F60" s="9">
        <v>44</v>
      </c>
      <c r="G60" s="37">
        <f t="shared" si="3"/>
        <v>50.934884535277575</v>
      </c>
      <c r="H60" s="38">
        <f t="shared" si="6"/>
        <v>0.81061509583700309</v>
      </c>
    </row>
    <row r="61" spans="1:32">
      <c r="B61">
        <v>2029</v>
      </c>
      <c r="D61" s="37">
        <f>D60*(1+U39)</f>
        <v>102.92194327295809</v>
      </c>
      <c r="E61" s="38">
        <f t="shared" si="5"/>
        <v>0.91214669818849725</v>
      </c>
      <c r="F61" s="9">
        <v>47</v>
      </c>
      <c r="G61" s="37">
        <f t="shared" si="3"/>
        <v>55.921943272958089</v>
      </c>
      <c r="H61" s="38">
        <f t="shared" si="6"/>
        <v>0.88998280489286152</v>
      </c>
    </row>
    <row r="62" spans="1:32">
      <c r="B62">
        <v>2030</v>
      </c>
      <c r="D62" s="37">
        <f>D61*(1+U40)</f>
        <v>112.83485811806231</v>
      </c>
      <c r="E62" s="38">
        <f t="shared" si="5"/>
        <v>1</v>
      </c>
      <c r="F62" s="9">
        <v>50</v>
      </c>
      <c r="G62" s="37">
        <f t="shared" si="3"/>
        <v>62.834858118062314</v>
      </c>
      <c r="H62" s="38">
        <f t="shared" si="6"/>
        <v>1</v>
      </c>
    </row>
    <row r="63" spans="1:32">
      <c r="D63" s="37"/>
      <c r="E63" s="38"/>
      <c r="F63" s="9"/>
      <c r="G63" s="37"/>
      <c r="H63" s="38"/>
    </row>
    <row r="64" spans="1:32">
      <c r="A64" t="s">
        <v>73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>
      <c r="A65" t="s">
        <v>116</v>
      </c>
      <c r="B65" s="37">
        <f>D52</f>
        <v>24.983873327481177</v>
      </c>
      <c r="C65" s="37">
        <f>D53</f>
        <v>53.499312875163668</v>
      </c>
      <c r="D65" s="39" cm="1">
        <f t="array" ref="D65:L65">TRANSPOSE(D54:D62)</f>
        <v>70.777648219571262</v>
      </c>
      <c r="E65" s="39">
        <v>73.311213204015658</v>
      </c>
      <c r="F65" s="39">
        <v>61.573121384209628</v>
      </c>
      <c r="G65" s="39">
        <v>67.726806142856148</v>
      </c>
      <c r="H65" s="39">
        <v>79.740717770099934</v>
      </c>
      <c r="I65" s="39">
        <v>87.618946176126954</v>
      </c>
      <c r="J65" s="39">
        <v>94.934884535277575</v>
      </c>
      <c r="K65" s="39">
        <v>102.92194327295809</v>
      </c>
      <c r="L65" s="39">
        <v>112.83485811806231</v>
      </c>
      <c r="M65" s="39">
        <f t="shared" ref="M65:AF65" si="7">M5+$G62</f>
        <v>114.83485811806231</v>
      </c>
      <c r="N65" s="39">
        <f t="shared" si="7"/>
        <v>116.83485811806231</v>
      </c>
      <c r="O65" s="39">
        <f t="shared" si="7"/>
        <v>118.83485811806231</v>
      </c>
      <c r="P65" s="39">
        <f t="shared" si="7"/>
        <v>120.83485811806231</v>
      </c>
      <c r="Q65" s="39">
        <f t="shared" si="7"/>
        <v>122.83485811806231</v>
      </c>
      <c r="R65" s="39">
        <f t="shared" si="7"/>
        <v>124.83485811806231</v>
      </c>
      <c r="S65" s="39">
        <f t="shared" si="7"/>
        <v>126.83485811806231</v>
      </c>
      <c r="T65" s="39">
        <f t="shared" si="7"/>
        <v>128.8348581180623</v>
      </c>
      <c r="U65" s="39">
        <f t="shared" si="7"/>
        <v>130.8348581180623</v>
      </c>
      <c r="V65" s="39">
        <f t="shared" si="7"/>
        <v>132.8348581180623</v>
      </c>
      <c r="W65" s="39">
        <f t="shared" si="7"/>
        <v>134.8348581180623</v>
      </c>
      <c r="X65" s="39">
        <f t="shared" si="7"/>
        <v>136.8348581180623</v>
      </c>
      <c r="Y65" s="39">
        <f t="shared" si="7"/>
        <v>138.8348581180623</v>
      </c>
      <c r="Z65" s="39">
        <f t="shared" si="7"/>
        <v>140.8348581180623</v>
      </c>
      <c r="AA65" s="39">
        <f t="shared" si="7"/>
        <v>142.8348581180623</v>
      </c>
      <c r="AB65" s="39">
        <f t="shared" si="7"/>
        <v>144.8348581180623</v>
      </c>
      <c r="AC65" s="39">
        <f t="shared" si="7"/>
        <v>146.8348581180623</v>
      </c>
      <c r="AD65" s="39">
        <f t="shared" si="7"/>
        <v>148.8348581180623</v>
      </c>
      <c r="AE65" s="39">
        <f t="shared" si="7"/>
        <v>150.8348581180623</v>
      </c>
      <c r="AF65" s="39">
        <f t="shared" si="7"/>
        <v>152.8348581180623</v>
      </c>
    </row>
    <row r="66" spans="1:32">
      <c r="A66" t="s">
        <v>115</v>
      </c>
      <c r="B66" s="40">
        <f>B65*[4]About!$B51*[4]About!$B50</f>
        <v>29.652512203379324</v>
      </c>
      <c r="C66" s="40">
        <f>C65*[4]About!$B51*[4]About!$B50</f>
        <v>63.496520619892848</v>
      </c>
      <c r="D66" s="40">
        <f>D65*[4]About!$B51*[4]About!$B50</f>
        <v>84.003591038416303</v>
      </c>
      <c r="E66" s="40">
        <f>E65*[4]About!$B51*[4]About!$B50</f>
        <v>87.010593420895404</v>
      </c>
      <c r="F66" s="40">
        <f>F65*[4]About!$B51*[4]About!$B50</f>
        <v>73.079050206243807</v>
      </c>
      <c r="G66" s="40">
        <f>G65*[4]About!$B51*[4]About!$B50</f>
        <v>80.382650012795978</v>
      </c>
      <c r="H66" s="40">
        <f>H65*[4]About!$B51*[4]About!$B50</f>
        <v>94.641554405547438</v>
      </c>
      <c r="I66" s="40">
        <f>I65*[4]About!$B51*[4]About!$B50</f>
        <v>103.9919565985399</v>
      </c>
      <c r="J66" s="40">
        <f>J65*[4]About!$B51*[4]About!$B50</f>
        <v>112.67499579868122</v>
      </c>
      <c r="K66" s="40">
        <f>K65*[4]About!$B51*[4]About!$B50</f>
        <v>122.15456502254808</v>
      </c>
      <c r="L66" s="40">
        <f>L65*[4]About!$B51*[4]About!$B50</f>
        <v>133.91986756641703</v>
      </c>
      <c r="M66" s="40">
        <f>M65*[4]About!$B51*[4]About!$B50</f>
        <v>136.2935997587559</v>
      </c>
      <c r="N66" s="40">
        <f>N65*[4]About!$B51*[4]About!$B50</f>
        <v>138.66733195109475</v>
      </c>
      <c r="O66" s="40">
        <f>O65*[4]About!$B51*[4]About!$B50</f>
        <v>141.04106414343363</v>
      </c>
      <c r="P66" s="40">
        <f>P65*[4]About!$B51*[4]About!$B50</f>
        <v>143.41479633577254</v>
      </c>
      <c r="Q66" s="40">
        <f>Q65*[4]About!$B51*[4]About!$B50</f>
        <v>145.78852852811141</v>
      </c>
      <c r="R66" s="40">
        <f>R65*[4]About!$B51*[4]About!$B50</f>
        <v>148.16226072045026</v>
      </c>
      <c r="S66" s="40">
        <f>S65*[4]About!$B51*[4]About!$B50</f>
        <v>150.53599291278914</v>
      </c>
      <c r="T66" s="40">
        <f>T65*[4]About!$B51*[4]About!$B50</f>
        <v>152.90972510512802</v>
      </c>
      <c r="U66" s="40">
        <f>U65*[4]About!$B51*[4]About!$B50</f>
        <v>155.2834572974669</v>
      </c>
      <c r="V66" s="40">
        <f>V65*[4]About!$B51*[4]About!$B50</f>
        <v>157.65718948980575</v>
      </c>
      <c r="W66" s="40">
        <f>W65*[4]About!$B51*[4]About!$B50</f>
        <v>160.03092168214462</v>
      </c>
      <c r="X66" s="40">
        <f>X65*[4]About!$B51*[4]About!$B50</f>
        <v>162.4046538744835</v>
      </c>
      <c r="Y66" s="40">
        <f>Y65*[4]About!$B51*[4]About!$B50</f>
        <v>164.77838606682241</v>
      </c>
      <c r="Z66" s="40">
        <f>Z65*[4]About!$B51*[4]About!$B50</f>
        <v>167.15211825916126</v>
      </c>
      <c r="AA66" s="40">
        <f>AA65*[4]About!$B51*[4]About!$B50</f>
        <v>169.52585045150013</v>
      </c>
      <c r="AB66" s="40">
        <f>AB65*[4]About!$B51*[4]About!$B50</f>
        <v>171.89958264383901</v>
      </c>
      <c r="AC66" s="40">
        <f>AC65*[4]About!$B51*[4]About!$B50</f>
        <v>174.27331483617789</v>
      </c>
      <c r="AD66" s="40">
        <f>AD65*[4]About!$B51*[4]About!$B50</f>
        <v>176.64704702851677</v>
      </c>
      <c r="AE66" s="40">
        <f>AE65*[4]About!$B51*[4]About!$B50</f>
        <v>179.02077922085564</v>
      </c>
      <c r="AF66" s="40">
        <f>AF65*[4]About!$B51*[4]About!$B50</f>
        <v>181.39451141319449</v>
      </c>
    </row>
    <row r="67" spans="1:32">
      <c r="A67" t="s">
        <v>112</v>
      </c>
      <c r="B67" s="37">
        <f>B65*$F23</f>
        <v>29.366044709121375</v>
      </c>
      <c r="C67" s="37">
        <f t="shared" ref="C67:AF67" si="8">C65*$F23</f>
        <v>62.883092353467376</v>
      </c>
      <c r="D67" s="37">
        <f t="shared" si="8"/>
        <v>83.192047717284055</v>
      </c>
      <c r="E67" s="37">
        <f t="shared" si="8"/>
        <v>86.17</v>
      </c>
      <c r="F67" s="37">
        <f t="shared" si="8"/>
        <v>72.373046875</v>
      </c>
      <c r="G67" s="37">
        <f t="shared" si="8"/>
        <v>79.606087940313117</v>
      </c>
      <c r="H67" s="37">
        <f t="shared" si="8"/>
        <v>93.727239666975464</v>
      </c>
      <c r="I67" s="37">
        <f t="shared" si="8"/>
        <v>102.98730933541962</v>
      </c>
      <c r="J67" s="37">
        <f t="shared" si="8"/>
        <v>111.58646328276527</v>
      </c>
      <c r="K67" s="37">
        <f t="shared" si="8"/>
        <v>120.97445212303494</v>
      </c>
      <c r="L67" s="37">
        <f t="shared" si="8"/>
        <v>132.62609223197043</v>
      </c>
      <c r="M67" s="37">
        <f t="shared" si="8"/>
        <v>134.97689223197045</v>
      </c>
      <c r="N67" s="37">
        <f t="shared" si="8"/>
        <v>137.32769223197045</v>
      </c>
      <c r="O67" s="37">
        <f t="shared" si="8"/>
        <v>139.67849223197044</v>
      </c>
      <c r="P67" s="37">
        <f t="shared" si="8"/>
        <v>142.02929223197043</v>
      </c>
      <c r="Q67" s="37">
        <f t="shared" si="8"/>
        <v>144.38009223197045</v>
      </c>
      <c r="R67" s="37">
        <f t="shared" si="8"/>
        <v>146.73089223197044</v>
      </c>
      <c r="S67" s="37">
        <f t="shared" si="8"/>
        <v>149.08169223197044</v>
      </c>
      <c r="T67" s="37">
        <f t="shared" si="8"/>
        <v>151.43249223197043</v>
      </c>
      <c r="U67" s="37">
        <f t="shared" si="8"/>
        <v>153.78329223197042</v>
      </c>
      <c r="V67" s="37">
        <f t="shared" si="8"/>
        <v>156.13409223197041</v>
      </c>
      <c r="W67" s="37">
        <f t="shared" si="8"/>
        <v>158.48489223197043</v>
      </c>
      <c r="X67" s="37">
        <f t="shared" si="8"/>
        <v>160.83569223197043</v>
      </c>
      <c r="Y67" s="37">
        <f t="shared" si="8"/>
        <v>163.18649223197042</v>
      </c>
      <c r="Z67" s="37">
        <f t="shared" si="8"/>
        <v>165.53729223197044</v>
      </c>
      <c r="AA67" s="37">
        <f t="shared" si="8"/>
        <v>167.88809223197043</v>
      </c>
      <c r="AB67" s="37">
        <f t="shared" si="8"/>
        <v>170.23889223197042</v>
      </c>
      <c r="AC67" s="37">
        <f t="shared" si="8"/>
        <v>172.58969223197042</v>
      </c>
      <c r="AD67" s="37">
        <f t="shared" si="8"/>
        <v>174.94049223197044</v>
      </c>
      <c r="AE67" s="37">
        <f t="shared" si="8"/>
        <v>177.29129223197043</v>
      </c>
      <c r="AF67" s="37">
        <f t="shared" si="8"/>
        <v>179.64209223197042</v>
      </c>
    </row>
    <row r="69" spans="1:32" s="10" customFormat="1">
      <c r="A69" s="10" t="s">
        <v>87</v>
      </c>
    </row>
    <row r="70" spans="1:32">
      <c r="A70" t="s">
        <v>88</v>
      </c>
    </row>
    <row r="72" spans="1:32">
      <c r="D72" t="s">
        <v>89</v>
      </c>
    </row>
    <row r="73" spans="1:32">
      <c r="D73" t="s">
        <v>67</v>
      </c>
      <c r="E73" t="s">
        <v>90</v>
      </c>
      <c r="F73" t="s">
        <v>91</v>
      </c>
      <c r="G73" t="s">
        <v>92</v>
      </c>
    </row>
    <row r="74" spans="1:32">
      <c r="D74">
        <v>2030</v>
      </c>
      <c r="E74" s="41">
        <v>12.0772946859902</v>
      </c>
      <c r="F74">
        <f>1/1.4056</f>
        <v>0.71143995446784292</v>
      </c>
      <c r="G74" s="39">
        <f>E74*F74</f>
        <v>8.5922699814955887</v>
      </c>
    </row>
    <row r="75" spans="1:32">
      <c r="D75">
        <v>2035</v>
      </c>
      <c r="E75" s="41">
        <v>92.9951690821255</v>
      </c>
      <c r="F75">
        <f>1/1.5903</f>
        <v>0.62881217380368482</v>
      </c>
      <c r="G75" s="39">
        <f t="shared" ref="G75:G78" si="9">E75*F75</f>
        <v>58.476494423772557</v>
      </c>
    </row>
    <row r="76" spans="1:32">
      <c r="D76">
        <v>2040</v>
      </c>
      <c r="E76" s="41">
        <v>177.536231884058</v>
      </c>
      <c r="F76">
        <f>1/1.7993</f>
        <v>0.55577168899016283</v>
      </c>
      <c r="G76" s="39">
        <f t="shared" si="9"/>
        <v>98.669611451152107</v>
      </c>
    </row>
    <row r="77" spans="1:32">
      <c r="D77">
        <v>2045</v>
      </c>
      <c r="E77" s="41">
        <v>300.72463768115898</v>
      </c>
      <c r="F77">
        <f>1/2.0357</f>
        <v>0.49123151741415733</v>
      </c>
      <c r="G77" s="39">
        <f t="shared" si="9"/>
        <v>147.72542009193839</v>
      </c>
    </row>
    <row r="78" spans="1:32">
      <c r="D78">
        <v>2050</v>
      </c>
      <c r="E78" s="41">
        <v>363.526570048309</v>
      </c>
      <c r="F78">
        <f>1/2.3032</f>
        <v>0.43417853421326852</v>
      </c>
      <c r="G78" s="39">
        <f t="shared" si="9"/>
        <v>157.83543333115188</v>
      </c>
    </row>
    <row r="79" spans="1:32">
      <c r="F79" s="14" t="s">
        <v>93</v>
      </c>
      <c r="G79" s="39"/>
    </row>
    <row r="88" spans="1:30">
      <c r="H88" s="42"/>
      <c r="I88" t="s">
        <v>94</v>
      </c>
    </row>
    <row r="90" spans="1:30">
      <c r="A90" t="s">
        <v>73</v>
      </c>
      <c r="B90">
        <v>2022</v>
      </c>
      <c r="C90">
        <v>2023</v>
      </c>
      <c r="D90">
        <v>2024</v>
      </c>
      <c r="E90">
        <v>2025</v>
      </c>
      <c r="F90">
        <v>2026</v>
      </c>
      <c r="G90">
        <v>2027</v>
      </c>
      <c r="H90">
        <v>2028</v>
      </c>
      <c r="I90">
        <v>2029</v>
      </c>
      <c r="J90">
        <v>2030</v>
      </c>
      <c r="K90">
        <v>2031</v>
      </c>
      <c r="L90">
        <v>2032</v>
      </c>
      <c r="M90">
        <v>2033</v>
      </c>
      <c r="N90">
        <v>2034</v>
      </c>
      <c r="O90">
        <v>2035</v>
      </c>
      <c r="P90">
        <v>2036</v>
      </c>
      <c r="Q90">
        <v>2037</v>
      </c>
      <c r="R90">
        <v>2038</v>
      </c>
      <c r="S90">
        <v>2039</v>
      </c>
      <c r="T90">
        <v>2040</v>
      </c>
      <c r="U90">
        <v>2041</v>
      </c>
      <c r="V90">
        <v>2042</v>
      </c>
      <c r="W90">
        <v>2043</v>
      </c>
      <c r="X90">
        <v>2044</v>
      </c>
      <c r="Y90">
        <v>2045</v>
      </c>
      <c r="Z90">
        <v>2046</v>
      </c>
      <c r="AA90">
        <v>2047</v>
      </c>
      <c r="AB90">
        <v>2048</v>
      </c>
      <c r="AC90">
        <v>2049</v>
      </c>
      <c r="AD90">
        <v>2050</v>
      </c>
    </row>
    <row r="91" spans="1:30">
      <c r="A91" t="s">
        <v>74</v>
      </c>
      <c r="B91">
        <v>0</v>
      </c>
      <c r="C91">
        <v>0</v>
      </c>
      <c r="D91">
        <v>0</v>
      </c>
      <c r="E91">
        <v>0</v>
      </c>
      <c r="F91">
        <v>0</v>
      </c>
      <c r="G91" s="43">
        <f>$G74</f>
        <v>8.5922699814955887</v>
      </c>
      <c r="H91" s="43">
        <f t="shared" ref="H91:J91" si="10">$G74</f>
        <v>8.5922699814955887</v>
      </c>
      <c r="I91" s="43">
        <f t="shared" si="10"/>
        <v>8.5922699814955887</v>
      </c>
      <c r="J91" s="43">
        <f t="shared" si="10"/>
        <v>8.5922699814955887</v>
      </c>
      <c r="K91" s="39">
        <f>$J91+($O91-$J91)*(K90-$J90)/5</f>
        <v>18.56911486995098</v>
      </c>
      <c r="L91" s="39">
        <f t="shared" ref="L91:N91" si="11">$J91+($O91-$J91)*(L90-$J90)/5</f>
        <v>28.545959758406376</v>
      </c>
      <c r="M91" s="39">
        <f t="shared" si="11"/>
        <v>38.522804646861765</v>
      </c>
      <c r="N91" s="39">
        <f t="shared" si="11"/>
        <v>48.499649535317161</v>
      </c>
      <c r="O91" s="43">
        <f>G75</f>
        <v>58.476494423772557</v>
      </c>
      <c r="P91" s="39">
        <f>$O91+($T91-$O91)*(P90-$O90)/5</f>
        <v>66.515117829248467</v>
      </c>
      <c r="Q91" s="39">
        <f t="shared" ref="Q91:S91" si="12">$O91+($T91-$O91)*(Q90-$O90)/5</f>
        <v>74.553741234724384</v>
      </c>
      <c r="R91" s="39">
        <f t="shared" si="12"/>
        <v>82.592364640200287</v>
      </c>
      <c r="S91" s="39">
        <f t="shared" si="12"/>
        <v>90.63098804567619</v>
      </c>
      <c r="T91" s="43">
        <f>G76</f>
        <v>98.669611451152107</v>
      </c>
      <c r="U91" s="39">
        <f>$T91+($Y91-$T91)*(U90-$T90)/5</f>
        <v>108.48077317930937</v>
      </c>
      <c r="V91" s="39">
        <f t="shared" ref="V91:X91" si="13">$T91+($Y91-$T91)*(V90-$T90)/5</f>
        <v>118.29193490746661</v>
      </c>
      <c r="W91" s="39">
        <f t="shared" si="13"/>
        <v>128.10309663562387</v>
      </c>
      <c r="X91" s="39">
        <f t="shared" si="13"/>
        <v>137.91425836378113</v>
      </c>
      <c r="Y91" s="43">
        <f>G77</f>
        <v>147.72542009193839</v>
      </c>
      <c r="Z91" s="39">
        <f>$Y91+($AD91-$Y91)*(Z90-$Y90)/5</f>
        <v>149.74742273978109</v>
      </c>
      <c r="AA91" s="39">
        <f t="shared" ref="AA91:AC91" si="14">$Y91+($AD91-$Y91)*(AA90-$Y90)/5</f>
        <v>151.76942538762378</v>
      </c>
      <c r="AB91" s="39">
        <f t="shared" si="14"/>
        <v>153.79142803546648</v>
      </c>
      <c r="AC91" s="39">
        <f t="shared" si="14"/>
        <v>155.81343068330918</v>
      </c>
      <c r="AD91" s="43">
        <f>G78</f>
        <v>157.83543333115188</v>
      </c>
    </row>
    <row r="92" spans="1:30">
      <c r="A92" t="s">
        <v>75</v>
      </c>
      <c r="B92">
        <f>B91*[4]About!$B51*[4]About!$B50</f>
        <v>0</v>
      </c>
      <c r="C92">
        <f>C91*[4]About!$B51*[4]About!$B50</f>
        <v>0</v>
      </c>
      <c r="D92">
        <f>D91*[4]About!$B51*[4]About!$B50</f>
        <v>0</v>
      </c>
      <c r="E92">
        <f>E91*[4]About!$B51*[4]About!$B50</f>
        <v>0</v>
      </c>
      <c r="F92">
        <f>F91*[4]About!$B51*[4]About!$B50</f>
        <v>0</v>
      </c>
      <c r="G92" s="44">
        <f>G91*[4]About!$B51*[4]About!$B50</f>
        <v>10.197873930171518</v>
      </c>
      <c r="H92" s="44">
        <f>H91*[4]About!$B51*[4]About!$B50</f>
        <v>10.197873930171518</v>
      </c>
      <c r="I92" s="44">
        <f>I91*[4]About!$B51*[4]About!$B50</f>
        <v>10.197873930171518</v>
      </c>
      <c r="J92" s="44">
        <f>J91*[4]About!$B51*[4]About!$B50</f>
        <v>10.197873930171518</v>
      </c>
      <c r="K92" s="44">
        <f>K91*[4]About!$B51*[4]About!$B50</f>
        <v>22.039052875020577</v>
      </c>
      <c r="L92" s="44">
        <f>L91*[4]About!$B51*[4]About!$B50</f>
        <v>33.880231819869643</v>
      </c>
      <c r="M92" s="44">
        <f>M91*[4]About!$B51*[4]About!$B50</f>
        <v>45.721410764718705</v>
      </c>
      <c r="N92" s="44">
        <f>N91*[4]About!$B51*[4]About!$B50</f>
        <v>57.562589709567767</v>
      </c>
      <c r="O92" s="44">
        <f>O91*[4]About!$B51*[4]About!$B50</f>
        <v>69.403768654416837</v>
      </c>
      <c r="P92" s="44">
        <f>P91*[4]About!$B51*[4]About!$B50</f>
        <v>78.944538234250288</v>
      </c>
      <c r="Q92" s="44">
        <f>Q91*[4]About!$B51*[4]About!$B50</f>
        <v>88.485307814083782</v>
      </c>
      <c r="R92" s="44">
        <f>R91*[4]About!$B51*[4]About!$B50</f>
        <v>98.026077393917234</v>
      </c>
      <c r="S92" s="44">
        <f>S91*[4]About!$B51*[4]About!$B50</f>
        <v>107.56684697375069</v>
      </c>
      <c r="T92" s="44">
        <f>T91*[4]About!$B51*[4]About!$B50</f>
        <v>117.10761655358417</v>
      </c>
      <c r="U92" s="44">
        <f>U91*[4]About!$B51*[4]About!$B50</f>
        <v>128.75215177276914</v>
      </c>
      <c r="V92" s="44">
        <f>V91*[4]About!$B51*[4]About!$B50</f>
        <v>140.39668699195414</v>
      </c>
      <c r="W92" s="44">
        <f>W91*[4]About!$B51*[4]About!$B50</f>
        <v>152.04122221113914</v>
      </c>
      <c r="X92" s="44">
        <f>X91*[4]About!$B51*[4]About!$B50</f>
        <v>163.68575743032414</v>
      </c>
      <c r="Y92" s="44">
        <f>Y91*[4]About!$B51*[4]About!$B50</f>
        <v>175.33029264950915</v>
      </c>
      <c r="Z92" s="44">
        <f>Z91*[4]About!$B51*[4]About!$B50</f>
        <v>177.73013903859845</v>
      </c>
      <c r="AA92" s="44">
        <f>AA91*[4]About!$B51*[4]About!$B50</f>
        <v>180.12998542768781</v>
      </c>
      <c r="AB92" s="44">
        <f>AB91*[4]About!$B51*[4]About!$B50</f>
        <v>182.52983181677715</v>
      </c>
      <c r="AC92" s="44">
        <f>AC91*[4]About!$B51*[4]About!$B50</f>
        <v>184.92967820586645</v>
      </c>
      <c r="AD92" s="44">
        <f>AD91*[4]About!$B51*[4]About!$B50</f>
        <v>187.32952459495581</v>
      </c>
    </row>
    <row r="93" spans="1:30">
      <c r="A93" t="s">
        <v>114</v>
      </c>
      <c r="B93">
        <f>B91*$F23-B1</f>
        <v>0</v>
      </c>
      <c r="C93">
        <f t="shared" ref="C93:AD93" si="15">C91*$F23</f>
        <v>0</v>
      </c>
      <c r="D93">
        <f t="shared" si="15"/>
        <v>0</v>
      </c>
      <c r="E93">
        <f t="shared" si="15"/>
        <v>0</v>
      </c>
      <c r="F93">
        <f t="shared" si="15"/>
        <v>0</v>
      </c>
      <c r="G93">
        <f t="shared" si="15"/>
        <v>10.099354136249914</v>
      </c>
      <c r="H93">
        <f t="shared" si="15"/>
        <v>10.099354136249914</v>
      </c>
      <c r="I93">
        <f t="shared" si="15"/>
        <v>10.099354136249914</v>
      </c>
      <c r="J93">
        <f t="shared" si="15"/>
        <v>10.099354136249914</v>
      </c>
      <c r="K93">
        <f t="shared" si="15"/>
        <v>21.826137618140383</v>
      </c>
      <c r="L93">
        <f t="shared" si="15"/>
        <v>33.552921100030851</v>
      </c>
      <c r="M93">
        <f t="shared" si="15"/>
        <v>45.279704581921315</v>
      </c>
      <c r="N93">
        <f t="shared" si="15"/>
        <v>57.006488063811794</v>
      </c>
      <c r="O93">
        <f t="shared" si="15"/>
        <v>68.733271545702266</v>
      </c>
      <c r="P93">
        <f t="shared" si="15"/>
        <v>78.181869496498649</v>
      </c>
      <c r="Q93">
        <f t="shared" si="15"/>
        <v>87.630467447295047</v>
      </c>
      <c r="R93">
        <f t="shared" si="15"/>
        <v>97.079065398091416</v>
      </c>
      <c r="S93">
        <f t="shared" si="15"/>
        <v>106.5276633488878</v>
      </c>
      <c r="T93">
        <f t="shared" si="15"/>
        <v>115.97626129968418</v>
      </c>
      <c r="U93">
        <f t="shared" si="15"/>
        <v>127.50830079496023</v>
      </c>
      <c r="V93">
        <f t="shared" si="15"/>
        <v>139.04034029023626</v>
      </c>
      <c r="W93">
        <f t="shared" si="15"/>
        <v>150.57237978551231</v>
      </c>
      <c r="X93">
        <f t="shared" si="15"/>
        <v>162.10441928078833</v>
      </c>
      <c r="Y93">
        <f t="shared" si="15"/>
        <v>173.63645877606439</v>
      </c>
      <c r="Z93">
        <f t="shared" si="15"/>
        <v>176.01312068833869</v>
      </c>
      <c r="AA93">
        <f t="shared" si="15"/>
        <v>178.38978260061299</v>
      </c>
      <c r="AB93">
        <f t="shared" si="15"/>
        <v>180.76644451288729</v>
      </c>
      <c r="AC93">
        <f t="shared" si="15"/>
        <v>183.14310642516162</v>
      </c>
      <c r="AD93">
        <f t="shared" si="15"/>
        <v>185.51976833743592</v>
      </c>
    </row>
    <row r="94" spans="1:30">
      <c r="A94" t="s">
        <v>72</v>
      </c>
      <c r="B94">
        <f>B93/MAX($B93:$AD93)</f>
        <v>0</v>
      </c>
      <c r="C94">
        <f t="shared" ref="C94" si="16">C93/MAX($B93:$AD93)</f>
        <v>0</v>
      </c>
      <c r="D94">
        <f t="shared" ref="D94" si="17">D93/MAX($B93:$AD93)</f>
        <v>0</v>
      </c>
      <c r="E94">
        <f t="shared" ref="E94" si="18">E93/MAX($B93:$AD93)</f>
        <v>0</v>
      </c>
      <c r="F94">
        <f t="shared" ref="F94" si="19">F93/MAX($B93:$AD93)</f>
        <v>0</v>
      </c>
      <c r="G94">
        <f t="shared" ref="G94" si="20">G93/MAX($B93:$AD93)</f>
        <v>5.4438156250176666E-2</v>
      </c>
      <c r="H94">
        <f t="shared" ref="H94" si="21">H93/MAX($B93:$AD93)</f>
        <v>5.4438156250176666E-2</v>
      </c>
      <c r="I94">
        <f t="shared" ref="I94" si="22">I93/MAX($B93:$AD93)</f>
        <v>5.4438156250176666E-2</v>
      </c>
      <c r="J94">
        <f t="shared" ref="J94" si="23">J93/MAX($B93:$AD93)</f>
        <v>5.4438156250176666E-2</v>
      </c>
      <c r="K94">
        <f t="shared" ref="K94" si="24">K93/MAX($B93:$AD93)</f>
        <v>0.11764858167805343</v>
      </c>
      <c r="L94">
        <f t="shared" ref="L94" si="25">L93/MAX($B93:$AD93)</f>
        <v>0.18085900710593023</v>
      </c>
      <c r="M94">
        <f t="shared" ref="M94" si="26">M93/MAX($B93:$AD93)</f>
        <v>0.24406943253380697</v>
      </c>
      <c r="N94">
        <f t="shared" ref="N94" si="27">N93/MAX($B93:$AD93)</f>
        <v>0.30727985796168383</v>
      </c>
      <c r="O94">
        <f t="shared" ref="O94" si="28">O93/MAX($B93:$AD93)</f>
        <v>0.37049028338956058</v>
      </c>
      <c r="P94">
        <f t="shared" ref="P94" si="29">P93/MAX($B93:$AD93)</f>
        <v>0.42142069385455555</v>
      </c>
      <c r="Q94">
        <f t="shared" ref="Q94" si="30">Q93/MAX($B93:$AD93)</f>
        <v>0.47235110431955057</v>
      </c>
      <c r="R94">
        <f t="shared" ref="R94" si="31">R93/MAX($B93:$AD93)</f>
        <v>0.52328151478454543</v>
      </c>
      <c r="S94">
        <f t="shared" ref="S94" si="32">S93/MAX($B93:$AD93)</f>
        <v>0.57421192524954034</v>
      </c>
      <c r="T94">
        <f t="shared" ref="T94" si="33">T93/MAX($B93:$AD93)</f>
        <v>0.62514233571453526</v>
      </c>
      <c r="U94">
        <f t="shared" ref="U94" si="34">U93/MAX($B93:$AD93)</f>
        <v>0.68730304019698596</v>
      </c>
      <c r="V94">
        <f t="shared" ref="V94" si="35">V93/MAX($B93:$AD93)</f>
        <v>0.74946374467943633</v>
      </c>
      <c r="W94">
        <f t="shared" ref="W94" si="36">W93/MAX($B93:$AD93)</f>
        <v>0.81162444916188703</v>
      </c>
      <c r="X94">
        <f t="shared" ref="X94" si="37">X93/MAX($B93:$AD93)</f>
        <v>0.8737851536443374</v>
      </c>
      <c r="Y94">
        <f t="shared" ref="Y94" si="38">Y93/MAX($B93:$AD93)</f>
        <v>0.9359458581267881</v>
      </c>
      <c r="Z94">
        <f t="shared" ref="Z94" si="39">Z93/MAX($B93:$AD93)</f>
        <v>0.94875668650143041</v>
      </c>
      <c r="AA94">
        <f t="shared" ref="AA94" si="40">AA93/MAX($B93:$AD93)</f>
        <v>0.96156751487607273</v>
      </c>
      <c r="AB94">
        <f t="shared" ref="AB94" si="41">AB93/MAX($B93:$AD93)</f>
        <v>0.97437834325071515</v>
      </c>
      <c r="AC94">
        <f t="shared" ref="AC94" si="42">AC93/MAX($B93:$AD93)</f>
        <v>0.98718917162535769</v>
      </c>
      <c r="AD94">
        <f t="shared" ref="AD94" si="43">AD93/MAX($B93:$AD93)</f>
        <v>1</v>
      </c>
    </row>
    <row r="111" spans="1:30" s="10" customFormat="1">
      <c r="A111" s="10" t="s">
        <v>95</v>
      </c>
    </row>
    <row r="112" spans="1:30">
      <c r="A112" t="s">
        <v>73</v>
      </c>
      <c r="B112">
        <v>2022</v>
      </c>
      <c r="C112">
        <v>2023</v>
      </c>
      <c r="D112">
        <v>2024</v>
      </c>
      <c r="E112">
        <v>2025</v>
      </c>
      <c r="F112">
        <v>2026</v>
      </c>
      <c r="G112">
        <v>2027</v>
      </c>
      <c r="H112">
        <v>2028</v>
      </c>
      <c r="I112">
        <v>2029</v>
      </c>
      <c r="J112">
        <v>2030</v>
      </c>
      <c r="K112">
        <v>2031</v>
      </c>
      <c r="L112">
        <v>2032</v>
      </c>
      <c r="M112">
        <v>2033</v>
      </c>
      <c r="N112">
        <v>2034</v>
      </c>
      <c r="O112">
        <v>2035</v>
      </c>
      <c r="P112">
        <v>2036</v>
      </c>
      <c r="Q112">
        <v>2037</v>
      </c>
      <c r="R112">
        <v>2038</v>
      </c>
      <c r="S112">
        <v>2039</v>
      </c>
      <c r="T112">
        <v>2040</v>
      </c>
      <c r="U112">
        <v>2041</v>
      </c>
      <c r="V112">
        <v>2042</v>
      </c>
      <c r="W112">
        <v>2043</v>
      </c>
      <c r="X112">
        <v>2044</v>
      </c>
      <c r="Y112">
        <v>2045</v>
      </c>
      <c r="Z112">
        <v>2046</v>
      </c>
      <c r="AA112">
        <v>2047</v>
      </c>
      <c r="AB112">
        <v>2048</v>
      </c>
      <c r="AC112">
        <v>2049</v>
      </c>
      <c r="AD112">
        <v>2050</v>
      </c>
    </row>
    <row r="113" spans="1:30">
      <c r="A113" t="s">
        <v>96</v>
      </c>
      <c r="B113" s="37">
        <f t="shared" ref="B113:AD113" si="44">D6</f>
        <v>41.139000000000003</v>
      </c>
      <c r="C113" s="37">
        <f t="shared" si="44"/>
        <v>41.139000000000003</v>
      </c>
      <c r="D113" s="37">
        <f t="shared" si="44"/>
        <v>41.139000000000003</v>
      </c>
      <c r="E113" s="37">
        <f t="shared" si="44"/>
        <v>41.139000000000003</v>
      </c>
      <c r="F113" s="37">
        <f t="shared" si="44"/>
        <v>44.665199999999999</v>
      </c>
      <c r="G113" s="37">
        <f t="shared" si="44"/>
        <v>48.191400000000002</v>
      </c>
      <c r="H113" s="37">
        <f t="shared" si="44"/>
        <v>51.717599999999997</v>
      </c>
      <c r="I113" s="37">
        <f t="shared" si="44"/>
        <v>55.2438</v>
      </c>
      <c r="J113" s="37">
        <f t="shared" si="44"/>
        <v>58.77</v>
      </c>
      <c r="K113" s="37">
        <f t="shared" si="44"/>
        <v>61.120800000000003</v>
      </c>
      <c r="L113" s="37">
        <f t="shared" si="44"/>
        <v>63.471600000000002</v>
      </c>
      <c r="M113" s="37">
        <f t="shared" si="44"/>
        <v>65.822400000000002</v>
      </c>
      <c r="N113" s="37">
        <f t="shared" si="44"/>
        <v>68.173199999999994</v>
      </c>
      <c r="O113" s="37">
        <f t="shared" si="44"/>
        <v>70.524000000000001</v>
      </c>
      <c r="P113" s="37">
        <f t="shared" si="44"/>
        <v>72.874799999999993</v>
      </c>
      <c r="Q113" s="37">
        <f t="shared" si="44"/>
        <v>75.2256</v>
      </c>
      <c r="R113" s="37">
        <f t="shared" si="44"/>
        <v>77.576400000000007</v>
      </c>
      <c r="S113" s="37">
        <f t="shared" si="44"/>
        <v>79.927199999999999</v>
      </c>
      <c r="T113" s="37">
        <f t="shared" si="44"/>
        <v>82.278000000000006</v>
      </c>
      <c r="U113" s="37">
        <f t="shared" si="44"/>
        <v>84.628799999999998</v>
      </c>
      <c r="V113" s="37">
        <f t="shared" si="44"/>
        <v>86.979600000000005</v>
      </c>
      <c r="W113" s="37">
        <f t="shared" si="44"/>
        <v>89.330399999999997</v>
      </c>
      <c r="X113" s="37">
        <f t="shared" si="44"/>
        <v>91.681200000000004</v>
      </c>
      <c r="Y113" s="37">
        <f t="shared" si="44"/>
        <v>94.031999999999996</v>
      </c>
      <c r="Z113" s="37">
        <f t="shared" si="44"/>
        <v>96.382800000000003</v>
      </c>
      <c r="AA113" s="37">
        <f t="shared" si="44"/>
        <v>98.733599999999996</v>
      </c>
      <c r="AB113" s="37">
        <f t="shared" si="44"/>
        <v>101.0844</v>
      </c>
      <c r="AC113" s="37">
        <f t="shared" si="44"/>
        <v>103.43519999999999</v>
      </c>
      <c r="AD113" s="37">
        <f t="shared" si="44"/>
        <v>105.786</v>
      </c>
    </row>
    <row r="114" spans="1:30">
      <c r="A114" t="s">
        <v>97</v>
      </c>
      <c r="B114" s="39">
        <f t="shared" ref="B114:AD114" si="45">MAX(B93,D67)</f>
        <v>83.192047717284055</v>
      </c>
      <c r="C114" s="39">
        <f t="shared" si="45"/>
        <v>86.17</v>
      </c>
      <c r="D114" s="39">
        <f t="shared" si="45"/>
        <v>72.373046875</v>
      </c>
      <c r="E114" s="39">
        <f t="shared" si="45"/>
        <v>79.606087940313117</v>
      </c>
      <c r="F114" s="39">
        <f t="shared" si="45"/>
        <v>93.727239666975464</v>
      </c>
      <c r="G114" s="39">
        <f t="shared" si="45"/>
        <v>102.98730933541962</v>
      </c>
      <c r="H114" s="39">
        <f t="shared" si="45"/>
        <v>111.58646328276527</v>
      </c>
      <c r="I114" s="39">
        <f t="shared" si="45"/>
        <v>120.97445212303494</v>
      </c>
      <c r="J114" s="39">
        <f t="shared" si="45"/>
        <v>132.62609223197043</v>
      </c>
      <c r="K114" s="39">
        <f t="shared" si="45"/>
        <v>134.97689223197045</v>
      </c>
      <c r="L114" s="39">
        <f t="shared" si="45"/>
        <v>137.32769223197045</v>
      </c>
      <c r="M114" s="39">
        <f t="shared" si="45"/>
        <v>139.67849223197044</v>
      </c>
      <c r="N114" s="39">
        <f t="shared" si="45"/>
        <v>142.02929223197043</v>
      </c>
      <c r="O114" s="39">
        <f t="shared" si="45"/>
        <v>144.38009223197045</v>
      </c>
      <c r="P114" s="39">
        <f t="shared" si="45"/>
        <v>146.73089223197044</v>
      </c>
      <c r="Q114" s="39">
        <f t="shared" si="45"/>
        <v>149.08169223197044</v>
      </c>
      <c r="R114" s="39">
        <f t="shared" si="45"/>
        <v>151.43249223197043</v>
      </c>
      <c r="S114" s="39">
        <f t="shared" si="45"/>
        <v>153.78329223197042</v>
      </c>
      <c r="T114" s="39">
        <f t="shared" si="45"/>
        <v>156.13409223197041</v>
      </c>
      <c r="U114" s="39">
        <f t="shared" si="45"/>
        <v>158.48489223197043</v>
      </c>
      <c r="V114" s="39">
        <f t="shared" si="45"/>
        <v>160.83569223197043</v>
      </c>
      <c r="W114" s="39">
        <f t="shared" si="45"/>
        <v>163.18649223197042</v>
      </c>
      <c r="X114" s="39">
        <f t="shared" si="45"/>
        <v>165.53729223197044</v>
      </c>
      <c r="Y114" s="39">
        <f t="shared" si="45"/>
        <v>173.63645877606439</v>
      </c>
      <c r="Z114" s="39">
        <f t="shared" si="45"/>
        <v>176.01312068833869</v>
      </c>
      <c r="AA114" s="39">
        <f t="shared" si="45"/>
        <v>178.38978260061299</v>
      </c>
      <c r="AB114" s="39">
        <f t="shared" si="45"/>
        <v>180.76644451288729</v>
      </c>
      <c r="AC114" s="39">
        <f t="shared" si="45"/>
        <v>183.14310642516162</v>
      </c>
      <c r="AD114" s="39">
        <f t="shared" si="45"/>
        <v>185.51976833743592</v>
      </c>
    </row>
    <row r="115" spans="1:30">
      <c r="A115" t="s">
        <v>98</v>
      </c>
      <c r="B115" s="45">
        <f t="shared" ref="B115:AD115" si="46">D67/B114</f>
        <v>1</v>
      </c>
      <c r="C115" s="45">
        <f t="shared" si="46"/>
        <v>1</v>
      </c>
      <c r="D115" s="45">
        <f t="shared" si="46"/>
        <v>1</v>
      </c>
      <c r="E115" s="45">
        <f t="shared" si="46"/>
        <v>1</v>
      </c>
      <c r="F115" s="45">
        <f t="shared" si="46"/>
        <v>1</v>
      </c>
      <c r="G115" s="45">
        <f t="shared" si="46"/>
        <v>1</v>
      </c>
      <c r="H115" s="45">
        <f t="shared" si="46"/>
        <v>1</v>
      </c>
      <c r="I115" s="45">
        <f t="shared" si="46"/>
        <v>1</v>
      </c>
      <c r="J115" s="45">
        <f t="shared" si="46"/>
        <v>1</v>
      </c>
      <c r="K115" s="45">
        <f t="shared" si="46"/>
        <v>1</v>
      </c>
      <c r="L115" s="45">
        <f t="shared" si="46"/>
        <v>1</v>
      </c>
      <c r="M115" s="45">
        <f t="shared" si="46"/>
        <v>1</v>
      </c>
      <c r="N115" s="45">
        <f t="shared" si="46"/>
        <v>1</v>
      </c>
      <c r="O115" s="45">
        <f t="shared" si="46"/>
        <v>1</v>
      </c>
      <c r="P115" s="45">
        <f t="shared" si="46"/>
        <v>1</v>
      </c>
      <c r="Q115" s="45">
        <f t="shared" si="46"/>
        <v>1</v>
      </c>
      <c r="R115" s="45">
        <f t="shared" si="46"/>
        <v>1</v>
      </c>
      <c r="S115" s="45">
        <f t="shared" si="46"/>
        <v>1</v>
      </c>
      <c r="T115" s="45">
        <f t="shared" si="46"/>
        <v>1</v>
      </c>
      <c r="U115" s="45">
        <f t="shared" si="46"/>
        <v>1</v>
      </c>
      <c r="V115" s="45">
        <f t="shared" si="46"/>
        <v>1</v>
      </c>
      <c r="W115" s="45">
        <f t="shared" si="46"/>
        <v>1</v>
      </c>
      <c r="X115" s="45">
        <f t="shared" si="46"/>
        <v>1</v>
      </c>
      <c r="Y115" s="45">
        <f t="shared" si="46"/>
        <v>0.96689424223107712</v>
      </c>
      <c r="Z115" s="45">
        <f t="shared" si="46"/>
        <v>0.967194329412564</v>
      </c>
      <c r="AA115" s="45">
        <f t="shared" si="46"/>
        <v>0.96748642055566558</v>
      </c>
      <c r="AB115" s="45">
        <f t="shared" si="46"/>
        <v>0.96777083104878181</v>
      </c>
      <c r="AC115" s="45">
        <f t="shared" si="46"/>
        <v>0.96804785990903552</v>
      </c>
      <c r="AD115" s="45">
        <f t="shared" si="46"/>
        <v>0.96831779083092218</v>
      </c>
    </row>
    <row r="116" spans="1:30">
      <c r="A116" t="s">
        <v>99</v>
      </c>
      <c r="B116" s="45">
        <f>B93/B114</f>
        <v>0</v>
      </c>
      <c r="C116" s="45">
        <f t="shared" ref="C116:AD116" si="47">C93/C114</f>
        <v>0</v>
      </c>
      <c r="D116" s="45">
        <f t="shared" si="47"/>
        <v>0</v>
      </c>
      <c r="E116" s="45">
        <f t="shared" si="47"/>
        <v>0</v>
      </c>
      <c r="F116" s="45">
        <f t="shared" si="47"/>
        <v>0</v>
      </c>
      <c r="G116" s="45">
        <f t="shared" si="47"/>
        <v>9.8064064411638355E-2</v>
      </c>
      <c r="H116" s="45">
        <f t="shared" si="47"/>
        <v>9.0506983007945005E-2</v>
      </c>
      <c r="I116" s="45">
        <f t="shared" si="47"/>
        <v>8.3483363297058327E-2</v>
      </c>
      <c r="J116" s="45">
        <f t="shared" si="47"/>
        <v>7.614907418508253E-2</v>
      </c>
      <c r="K116" s="45">
        <f t="shared" si="47"/>
        <v>0.16170277191321103</v>
      </c>
      <c r="L116" s="45">
        <f t="shared" si="47"/>
        <v>0.24432742263923077</v>
      </c>
      <c r="M116" s="45">
        <f t="shared" si="47"/>
        <v>0.32417091463675918</v>
      </c>
      <c r="N116" s="45">
        <f t="shared" si="47"/>
        <v>0.40137134507933414</v>
      </c>
      <c r="O116" s="45">
        <f t="shared" si="47"/>
        <v>0.47605781713500306</v>
      </c>
      <c r="P116" s="45">
        <f t="shared" si="47"/>
        <v>0.53282487625645336</v>
      </c>
      <c r="Q116" s="45">
        <f t="shared" si="47"/>
        <v>0.58780166857069505</v>
      </c>
      <c r="R116" s="45">
        <f t="shared" si="47"/>
        <v>0.6410715690354073</v>
      </c>
      <c r="S116" s="45">
        <f t="shared" si="47"/>
        <v>0.69271285458110043</v>
      </c>
      <c r="T116" s="45">
        <f t="shared" si="47"/>
        <v>0.74279908789796378</v>
      </c>
      <c r="U116" s="45">
        <f t="shared" si="47"/>
        <v>0.8045454617108202</v>
      </c>
      <c r="V116" s="45">
        <f t="shared" si="47"/>
        <v>0.86448684592783598</v>
      </c>
      <c r="W116" s="45">
        <f t="shared" si="47"/>
        <v>0.92270124644552631</v>
      </c>
      <c r="X116" s="45">
        <f t="shared" si="47"/>
        <v>0.97926223810419977</v>
      </c>
      <c r="Y116" s="45">
        <f t="shared" si="47"/>
        <v>1</v>
      </c>
      <c r="Z116" s="45">
        <f t="shared" si="47"/>
        <v>1</v>
      </c>
      <c r="AA116" s="45">
        <f t="shared" si="47"/>
        <v>1</v>
      </c>
      <c r="AB116" s="45">
        <f t="shared" si="47"/>
        <v>1</v>
      </c>
      <c r="AC116" s="45">
        <f t="shared" si="47"/>
        <v>1</v>
      </c>
      <c r="AD116" s="45">
        <f t="shared" si="47"/>
        <v>1</v>
      </c>
    </row>
    <row r="117" spans="1:30">
      <c r="A117" t="s">
        <v>117</v>
      </c>
      <c r="B117" s="39">
        <f>B114-B113</f>
        <v>42.053047717284052</v>
      </c>
      <c r="C117" s="39">
        <f t="shared" ref="C117:AD117" si="48">C114-C113</f>
        <v>45.030999999999999</v>
      </c>
      <c r="D117" s="39">
        <f t="shared" si="48"/>
        <v>31.234046874999997</v>
      </c>
      <c r="E117" s="39">
        <f t="shared" si="48"/>
        <v>38.467087940313114</v>
      </c>
      <c r="F117" s="39">
        <f t="shared" si="48"/>
        <v>49.062039666975465</v>
      </c>
      <c r="G117" s="39">
        <f t="shared" si="48"/>
        <v>54.795909335419623</v>
      </c>
      <c r="H117" s="39">
        <f t="shared" si="48"/>
        <v>59.868863282765268</v>
      </c>
      <c r="I117" s="39">
        <f t="shared" si="48"/>
        <v>65.730652123034929</v>
      </c>
      <c r="J117" s="39">
        <f t="shared" si="48"/>
        <v>73.856092231970422</v>
      </c>
      <c r="K117" s="39">
        <f t="shared" si="48"/>
        <v>73.85609223197045</v>
      </c>
      <c r="L117" s="39">
        <f t="shared" si="48"/>
        <v>73.85609223197045</v>
      </c>
      <c r="M117" s="39">
        <f t="shared" si="48"/>
        <v>73.856092231970436</v>
      </c>
      <c r="N117" s="39">
        <f t="shared" si="48"/>
        <v>73.856092231970436</v>
      </c>
      <c r="O117" s="39">
        <f t="shared" si="48"/>
        <v>73.85609223197045</v>
      </c>
      <c r="P117" s="39">
        <f t="shared" si="48"/>
        <v>73.85609223197045</v>
      </c>
      <c r="Q117" s="39">
        <f t="shared" si="48"/>
        <v>73.856092231970436</v>
      </c>
      <c r="R117" s="39">
        <f t="shared" si="48"/>
        <v>73.856092231970422</v>
      </c>
      <c r="S117" s="39">
        <f t="shared" si="48"/>
        <v>73.856092231970422</v>
      </c>
      <c r="T117" s="39">
        <f t="shared" si="48"/>
        <v>73.856092231970408</v>
      </c>
      <c r="U117" s="39">
        <f t="shared" si="48"/>
        <v>73.856092231970436</v>
      </c>
      <c r="V117" s="39">
        <f t="shared" si="48"/>
        <v>73.856092231970422</v>
      </c>
      <c r="W117" s="39">
        <f t="shared" si="48"/>
        <v>73.856092231970422</v>
      </c>
      <c r="X117" s="39">
        <f t="shared" si="48"/>
        <v>73.856092231970436</v>
      </c>
      <c r="Y117" s="39">
        <f t="shared" si="48"/>
        <v>79.604458776064391</v>
      </c>
      <c r="Z117" s="39">
        <f t="shared" si="48"/>
        <v>79.630320688338685</v>
      </c>
      <c r="AA117" s="39">
        <f t="shared" si="48"/>
        <v>79.656182600612993</v>
      </c>
      <c r="AB117" s="39">
        <f t="shared" si="48"/>
        <v>79.682044512887288</v>
      </c>
      <c r="AC117" s="39">
        <f t="shared" si="48"/>
        <v>79.707906425161624</v>
      </c>
      <c r="AD117" s="39">
        <f t="shared" si="48"/>
        <v>79.733768337435919</v>
      </c>
    </row>
    <row r="118" spans="1:30">
      <c r="B118" s="46">
        <f>B117/MAX($B117:$AD117)</f>
        <v>0.52741828956727821</v>
      </c>
      <c r="C118" s="46">
        <f t="shared" ref="C118:AD118" si="49">C117/MAX($B117:$AD117)</f>
        <v>0.56476698566945105</v>
      </c>
      <c r="D118" s="46">
        <f t="shared" si="49"/>
        <v>0.39172921995629867</v>
      </c>
      <c r="E118" s="46">
        <f t="shared" si="49"/>
        <v>0.48244412301597406</v>
      </c>
      <c r="F118" s="46">
        <f t="shared" si="49"/>
        <v>0.61532322741029</v>
      </c>
      <c r="G118" s="46">
        <f t="shared" si="49"/>
        <v>0.68723591619953972</v>
      </c>
      <c r="H118" s="46">
        <f t="shared" si="49"/>
        <v>0.75085957344193588</v>
      </c>
      <c r="I118" s="46">
        <f t="shared" si="49"/>
        <v>0.82437659091767312</v>
      </c>
      <c r="J118" s="46">
        <f t="shared" si="49"/>
        <v>0.92628372861306418</v>
      </c>
      <c r="K118" s="46">
        <f t="shared" si="49"/>
        <v>0.92628372861306452</v>
      </c>
      <c r="L118" s="46">
        <f t="shared" si="49"/>
        <v>0.92628372861306452</v>
      </c>
      <c r="M118" s="46">
        <f t="shared" si="49"/>
        <v>0.92628372861306441</v>
      </c>
      <c r="N118" s="46">
        <f t="shared" si="49"/>
        <v>0.92628372861306441</v>
      </c>
      <c r="O118" s="46">
        <f t="shared" si="49"/>
        <v>0.92628372861306452</v>
      </c>
      <c r="P118" s="46">
        <f t="shared" si="49"/>
        <v>0.92628372861306452</v>
      </c>
      <c r="Q118" s="46">
        <f t="shared" si="49"/>
        <v>0.92628372861306441</v>
      </c>
      <c r="R118" s="46">
        <f t="shared" si="49"/>
        <v>0.92628372861306418</v>
      </c>
      <c r="S118" s="46">
        <f t="shared" si="49"/>
        <v>0.92628372861306418</v>
      </c>
      <c r="T118" s="46">
        <f t="shared" si="49"/>
        <v>0.92628372861306396</v>
      </c>
      <c r="U118" s="46">
        <f t="shared" si="49"/>
        <v>0.92628372861306441</v>
      </c>
      <c r="V118" s="46">
        <f t="shared" si="49"/>
        <v>0.92628372861306418</v>
      </c>
      <c r="W118" s="46">
        <f t="shared" si="49"/>
        <v>0.92628372861306418</v>
      </c>
      <c r="X118" s="46">
        <f t="shared" si="49"/>
        <v>0.92628372861306441</v>
      </c>
      <c r="Y118" s="46">
        <f t="shared" si="49"/>
        <v>0.9983782334126704</v>
      </c>
      <c r="Z118" s="46">
        <f t="shared" si="49"/>
        <v>0.99870258673013623</v>
      </c>
      <c r="AA118" s="46">
        <f t="shared" si="49"/>
        <v>0.99902694004760217</v>
      </c>
      <c r="AB118" s="46">
        <f t="shared" si="49"/>
        <v>0.99935129336506789</v>
      </c>
      <c r="AC118" s="46">
        <f t="shared" si="49"/>
        <v>0.99967564668253428</v>
      </c>
      <c r="AD118" s="46">
        <f t="shared" si="49"/>
        <v>1</v>
      </c>
    </row>
  </sheetData>
  <hyperlinks>
    <hyperlink ref="I21" r:id="rId1" xr:uid="{E5FBDBB7-12EA-4131-859C-2E7469EAFA81}"/>
    <hyperlink ref="P21" r:id="rId2" xr:uid="{AF6D4F5C-944C-40D0-B8CC-8EFD7656DB87}"/>
    <hyperlink ref="Q21" r:id="rId3" xr:uid="{FA541049-8E8D-41FE-B45A-EFCDB8292915}"/>
    <hyperlink ref="B20" r:id="rId4" location=":~:text=EU%20Allowances%20(EUAs)%20are%20expected,%25%20to%20104.84%20euros%2Ftonne." display="Per Reuters" xr:uid="{FD0F374B-BE7A-440B-8A00-37AE0D398706}"/>
    <hyperlink ref="B25" r:id="rId5" location=":~:text=EU%20Allowances%20(EUAs)%20are%20expected,%25%20to%20104.84%20euros%2Ftonne." display="Per Reuters" xr:uid="{E459298F-2653-427F-9201-1E1189069B3F}"/>
    <hyperlink ref="C54" r:id="rId6" display="https://icapcarbonaction.com/en/ets/eu-emissions-trading-system-eu-ets" xr:uid="{EC1E1EA6-4256-44B4-B2C6-733B73F177AB}"/>
    <hyperlink ref="AA33" r:id="rId7" display="https://tradingeconomics.com/commodity/carbon" xr:uid="{EC2BEC8E-A5A5-49FD-A1E0-71B28F42DAE8}"/>
    <hyperlink ref="E20" r:id="rId8" display="Historical Inflation Conversions" xr:uid="{9910E6B2-CE58-49FC-B13E-92A96D13DC28}"/>
    <hyperlink ref="AA21" r:id="rId9" display="https://tradingeconomics.com/commodity/carbon" xr:uid="{EA840A42-CB07-4674-A015-6C3EB156828F}"/>
    <hyperlink ref="B30" r:id="rId10" xr:uid="{D431BCA7-1A1A-4334-B950-6C62A8B0DA2A}"/>
    <hyperlink ref="F79" r:id="rId11" xr:uid="{C9987C56-07F9-4FE2-9F49-CD549BC0182E}"/>
  </hyperlinks>
  <pageMargins left="0.7" right="0.7" top="0.75" bottom="0.75" header="0.3" footer="0.3"/>
  <drawing r:id="rId1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4565F-BA27-452D-9457-6965E4839DAF}">
  <dimension ref="A2:AE29"/>
  <sheetViews>
    <sheetView workbookViewId="0">
      <selection activeCell="N3" sqref="N3"/>
    </sheetView>
  </sheetViews>
  <sheetFormatPr defaultRowHeight="14.5"/>
  <cols>
    <col min="1" max="1" width="21" customWidth="1"/>
    <col min="2" max="2" width="10.26953125" customWidth="1"/>
    <col min="3" max="3" width="10.453125" customWidth="1"/>
  </cols>
  <sheetData>
    <row r="2" spans="1:31">
      <c r="A2" s="2"/>
      <c r="B2" s="5">
        <v>2021</v>
      </c>
      <c r="C2" s="5">
        <v>2022</v>
      </c>
      <c r="D2" s="5">
        <v>2023</v>
      </c>
      <c r="E2" s="5">
        <v>2024</v>
      </c>
      <c r="F2" s="5">
        <v>2025</v>
      </c>
      <c r="G2" s="5">
        <v>2026</v>
      </c>
      <c r="H2" s="5">
        <v>2027</v>
      </c>
      <c r="I2" s="5">
        <v>2028</v>
      </c>
      <c r="J2" s="5">
        <v>2029</v>
      </c>
      <c r="K2" s="5">
        <v>2030</v>
      </c>
      <c r="L2" s="5">
        <v>2031</v>
      </c>
      <c r="M2" s="5">
        <v>2032</v>
      </c>
      <c r="N2" s="5">
        <v>2033</v>
      </c>
      <c r="O2" s="5">
        <v>2034</v>
      </c>
      <c r="P2" s="5">
        <v>2035</v>
      </c>
      <c r="Q2" s="5">
        <v>2036</v>
      </c>
      <c r="R2" s="5">
        <v>2037</v>
      </c>
      <c r="S2" s="5">
        <v>2038</v>
      </c>
      <c r="T2" s="5">
        <v>2039</v>
      </c>
      <c r="U2" s="5">
        <v>2040</v>
      </c>
      <c r="V2" s="5">
        <v>2041</v>
      </c>
      <c r="W2" s="5">
        <v>2042</v>
      </c>
      <c r="X2" s="5">
        <v>2043</v>
      </c>
      <c r="Y2" s="5">
        <v>2044</v>
      </c>
      <c r="Z2" s="5">
        <v>2045</v>
      </c>
      <c r="AA2" s="5">
        <v>2046</v>
      </c>
      <c r="AB2" s="5">
        <v>2047</v>
      </c>
      <c r="AC2" s="5">
        <v>2048</v>
      </c>
      <c r="AD2" s="5">
        <v>2049</v>
      </c>
      <c r="AE2" s="5">
        <v>2050</v>
      </c>
    </row>
    <row r="3" spans="1:31">
      <c r="A3" t="s">
        <v>5</v>
      </c>
      <c r="B3" s="4">
        <v>0</v>
      </c>
      <c r="C3" s="3">
        <f>'fuels-FoICStCT Projections'!B116</f>
        <v>0</v>
      </c>
      <c r="D3" s="3">
        <f>'fuels-FoICStCT Projections'!C116</f>
        <v>0</v>
      </c>
      <c r="E3" s="3">
        <f>'fuels-FoICStCT Projections'!D116</f>
        <v>0</v>
      </c>
      <c r="F3" s="3">
        <f>'fuels-FoICStCT Projections'!E116</f>
        <v>0</v>
      </c>
      <c r="G3" s="3">
        <f>'fuels-FoICStCT Projections'!F116</f>
        <v>0</v>
      </c>
      <c r="H3" s="3">
        <f>'fuels-FoICStCT Projections'!G116</f>
        <v>9.8064064411638355E-2</v>
      </c>
      <c r="I3" s="3">
        <f>'fuels-FoICStCT Projections'!H116</f>
        <v>9.0506983007945005E-2</v>
      </c>
      <c r="J3" s="3">
        <f>'fuels-FoICStCT Projections'!I116</f>
        <v>8.3483363297058327E-2</v>
      </c>
      <c r="K3" s="3">
        <f>'fuels-FoICStCT Projections'!J116</f>
        <v>7.614907418508253E-2</v>
      </c>
      <c r="L3" s="3">
        <f>'fuels-FoICStCT Projections'!K116</f>
        <v>0.16170277191321103</v>
      </c>
      <c r="M3" s="3">
        <f>'fuels-FoICStCT Projections'!L116</f>
        <v>0.24432742263923077</v>
      </c>
      <c r="N3" s="3">
        <f>'fuels-FoICStCT Projections'!M116</f>
        <v>0.32417091463675918</v>
      </c>
      <c r="O3" s="3">
        <f>'fuels-FoICStCT Projections'!N116</f>
        <v>0.40137134507933414</v>
      </c>
      <c r="P3" s="3">
        <f>'fuels-FoICStCT Projections'!O116</f>
        <v>0.47605781713500306</v>
      </c>
      <c r="Q3" s="3">
        <f>'fuels-FoICStCT Projections'!P116</f>
        <v>0.53282487625645336</v>
      </c>
      <c r="R3" s="3">
        <f>'fuels-FoICStCT Projections'!Q116</f>
        <v>0.58780166857069505</v>
      </c>
      <c r="S3" s="3">
        <f>'fuels-FoICStCT Projections'!R116</f>
        <v>0.6410715690354073</v>
      </c>
      <c r="T3" s="3">
        <f>'fuels-FoICStCT Projections'!S116</f>
        <v>0.69271285458110043</v>
      </c>
      <c r="U3" s="3">
        <f>'fuels-FoICStCT Projections'!T116</f>
        <v>0.74279908789796378</v>
      </c>
      <c r="V3" s="3">
        <f>'fuels-FoICStCT Projections'!U116</f>
        <v>0.8045454617108202</v>
      </c>
      <c r="W3" s="3">
        <f>'fuels-FoICStCT Projections'!V116</f>
        <v>0.86448684592783598</v>
      </c>
      <c r="X3" s="3">
        <f>'fuels-FoICStCT Projections'!W116</f>
        <v>0.92270124644552631</v>
      </c>
      <c r="Y3" s="3">
        <f>'fuels-FoICStCT Projections'!X116</f>
        <v>0.97926223810419977</v>
      </c>
      <c r="Z3" s="3">
        <f>'fuels-FoICStCT Projections'!Y116</f>
        <v>1</v>
      </c>
      <c r="AA3" s="3">
        <f>'fuels-FoICStCT Projections'!Z116</f>
        <v>1</v>
      </c>
      <c r="AB3" s="3">
        <f>'fuels-FoICStCT Projections'!AA116</f>
        <v>1</v>
      </c>
      <c r="AC3" s="3">
        <f>'fuels-FoICStCT Projections'!AB116</f>
        <v>1</v>
      </c>
      <c r="AD3" s="3">
        <f>'fuels-FoICStCT Projections'!AC116</f>
        <v>1</v>
      </c>
      <c r="AE3" s="3">
        <f>'fuels-FoICStCT Projections'!AD116</f>
        <v>1</v>
      </c>
    </row>
    <row r="4" spans="1:31">
      <c r="A4" t="s">
        <v>6</v>
      </c>
      <c r="B4" s="4">
        <v>0</v>
      </c>
      <c r="C4" s="3">
        <f>C3</f>
        <v>0</v>
      </c>
      <c r="D4" s="3">
        <f t="shared" ref="D4:AE4" si="0">D3</f>
        <v>0</v>
      </c>
      <c r="E4" s="3">
        <f t="shared" si="0"/>
        <v>0</v>
      </c>
      <c r="F4" s="3">
        <f t="shared" si="0"/>
        <v>0</v>
      </c>
      <c r="G4" s="3">
        <f t="shared" si="0"/>
        <v>0</v>
      </c>
      <c r="H4" s="3">
        <f t="shared" si="0"/>
        <v>9.8064064411638355E-2</v>
      </c>
      <c r="I4" s="3">
        <f t="shared" si="0"/>
        <v>9.0506983007945005E-2</v>
      </c>
      <c r="J4" s="3">
        <f t="shared" si="0"/>
        <v>8.3483363297058327E-2</v>
      </c>
      <c r="K4" s="3">
        <f t="shared" si="0"/>
        <v>7.614907418508253E-2</v>
      </c>
      <c r="L4" s="3">
        <f t="shared" si="0"/>
        <v>0.16170277191321103</v>
      </c>
      <c r="M4" s="3">
        <f t="shared" si="0"/>
        <v>0.24432742263923077</v>
      </c>
      <c r="N4" s="3">
        <f t="shared" si="0"/>
        <v>0.32417091463675918</v>
      </c>
      <c r="O4" s="3">
        <f t="shared" si="0"/>
        <v>0.40137134507933414</v>
      </c>
      <c r="P4" s="3">
        <f t="shared" si="0"/>
        <v>0.47605781713500306</v>
      </c>
      <c r="Q4" s="3">
        <f t="shared" si="0"/>
        <v>0.53282487625645336</v>
      </c>
      <c r="R4" s="3">
        <f t="shared" si="0"/>
        <v>0.58780166857069505</v>
      </c>
      <c r="S4" s="3">
        <f t="shared" si="0"/>
        <v>0.6410715690354073</v>
      </c>
      <c r="T4" s="3">
        <f t="shared" si="0"/>
        <v>0.69271285458110043</v>
      </c>
      <c r="U4" s="3">
        <f t="shared" si="0"/>
        <v>0.74279908789796378</v>
      </c>
      <c r="V4" s="3">
        <f t="shared" si="0"/>
        <v>0.8045454617108202</v>
      </c>
      <c r="W4" s="3">
        <f t="shared" si="0"/>
        <v>0.86448684592783598</v>
      </c>
      <c r="X4" s="3">
        <f t="shared" si="0"/>
        <v>0.92270124644552631</v>
      </c>
      <c r="Y4" s="3">
        <f t="shared" si="0"/>
        <v>0.97926223810419977</v>
      </c>
      <c r="Z4" s="3">
        <f t="shared" si="0"/>
        <v>1</v>
      </c>
      <c r="AA4" s="3">
        <f t="shared" si="0"/>
        <v>1</v>
      </c>
      <c r="AB4" s="3">
        <f t="shared" si="0"/>
        <v>1</v>
      </c>
      <c r="AC4" s="3">
        <f t="shared" si="0"/>
        <v>1</v>
      </c>
      <c r="AD4" s="3">
        <f t="shared" si="0"/>
        <v>1</v>
      </c>
      <c r="AE4" s="3">
        <f t="shared" si="0"/>
        <v>1</v>
      </c>
    </row>
    <row r="5" spans="1:31">
      <c r="A5" t="s">
        <v>7</v>
      </c>
      <c r="B5" s="9">
        <f>1-Data!$A3</f>
        <v>0.18000000000000005</v>
      </c>
      <c r="C5" s="9">
        <f>(1-Data!$A3)*'fuels-FoICStCT Projections'!B115</f>
        <v>0.18000000000000005</v>
      </c>
      <c r="D5" s="9">
        <f>(1-Data!$A3)*'fuels-FoICStCT Projections'!C115</f>
        <v>0.18000000000000005</v>
      </c>
      <c r="E5" s="9">
        <f>(1-Data!A8)*'fuels-FoICStCT Projections'!D115</f>
        <v>0.25</v>
      </c>
      <c r="F5" s="9">
        <f>(1-Data!A9)*'fuels-FoICStCT Projections'!E115</f>
        <v>0.5</v>
      </c>
      <c r="G5" s="9">
        <f>(1-Data!$A10)*'fuels-FoICStCT Projections'!F115</f>
        <v>1</v>
      </c>
      <c r="H5" s="9">
        <f>(1-Data!$A10)*'fuels-FoICStCT Projections'!G115</f>
        <v>1</v>
      </c>
      <c r="I5" s="9">
        <f>(1-Data!$A10)*'fuels-FoICStCT Projections'!H115</f>
        <v>1</v>
      </c>
      <c r="J5" s="9">
        <f>(1-Data!$A10)*'fuels-FoICStCT Projections'!I115</f>
        <v>1</v>
      </c>
      <c r="K5" s="9">
        <f>(1-Data!$A10)*'fuels-FoICStCT Projections'!J115</f>
        <v>1</v>
      </c>
      <c r="L5" s="9">
        <f>(1-Data!$A10)*'fuels-FoICStCT Projections'!K115</f>
        <v>1</v>
      </c>
      <c r="M5" s="9">
        <f>(1-Data!$A10)*'fuels-FoICStCT Projections'!L115</f>
        <v>1</v>
      </c>
      <c r="N5" s="9">
        <f>(1-Data!$A10)*'fuels-FoICStCT Projections'!M115</f>
        <v>1</v>
      </c>
      <c r="O5" s="9">
        <f>(1-Data!$A10)*'fuels-FoICStCT Projections'!N115</f>
        <v>1</v>
      </c>
      <c r="P5" s="9">
        <f>(1-Data!$A10)*'fuels-FoICStCT Projections'!O115</f>
        <v>1</v>
      </c>
      <c r="Q5" s="9">
        <f>(1-Data!$A10)*'fuels-FoICStCT Projections'!P115</f>
        <v>1</v>
      </c>
      <c r="R5" s="9">
        <f>(1-Data!$A10)*'fuels-FoICStCT Projections'!Q115</f>
        <v>1</v>
      </c>
      <c r="S5" s="9">
        <f>(1-Data!$A10)*'fuels-FoICStCT Projections'!R115</f>
        <v>1</v>
      </c>
      <c r="T5" s="9">
        <f>(1-Data!$A10)*'fuels-FoICStCT Projections'!S115</f>
        <v>1</v>
      </c>
      <c r="U5" s="9">
        <f>(1-Data!$A10)*'fuels-FoICStCT Projections'!T115</f>
        <v>1</v>
      </c>
      <c r="V5" s="9">
        <f>(1-Data!$A10)*'fuels-FoICStCT Projections'!U115</f>
        <v>1</v>
      </c>
      <c r="W5" s="9">
        <f>(1-Data!$A10)*'fuels-FoICStCT Projections'!V115</f>
        <v>1</v>
      </c>
      <c r="X5" s="9">
        <f>(1-Data!$A10)*'fuels-FoICStCT Projections'!W115</f>
        <v>1</v>
      </c>
      <c r="Y5" s="9">
        <f>(1-Data!$A10)*'fuels-FoICStCT Projections'!X115</f>
        <v>1</v>
      </c>
      <c r="Z5" s="9">
        <f>(1-Data!$A10)*'fuels-FoICStCT Projections'!Y115</f>
        <v>0.96689424223107712</v>
      </c>
      <c r="AA5" s="9">
        <f>(1-Data!$A10)*'fuels-FoICStCT Projections'!Z115</f>
        <v>0.967194329412564</v>
      </c>
      <c r="AB5" s="9">
        <f>(1-Data!$A10)*'fuels-FoICStCT Projections'!AA115</f>
        <v>0.96748642055566558</v>
      </c>
      <c r="AC5" s="9">
        <f>(1-Data!$A10)*'fuels-FoICStCT Projections'!AB115</f>
        <v>0.96777083104878181</v>
      </c>
      <c r="AD5" s="9">
        <f>(1-Data!$A10)*'fuels-FoICStCT Projections'!AC115</f>
        <v>0.96804785990903552</v>
      </c>
      <c r="AE5" s="9">
        <f>(1-Data!$A10)*'fuels-FoICStCT Projections'!AD115</f>
        <v>0.96831779083092218</v>
      </c>
    </row>
    <row r="6" spans="1:31">
      <c r="A6" t="s">
        <v>8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</row>
    <row r="7" spans="1:31">
      <c r="A7" t="s">
        <v>9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</row>
    <row r="8" spans="1:31">
      <c r="A8" t="s">
        <v>10</v>
      </c>
      <c r="B8" s="4">
        <f>B3</f>
        <v>0</v>
      </c>
      <c r="C8" s="3">
        <f t="shared" ref="C8:AE8" si="1">C3</f>
        <v>0</v>
      </c>
      <c r="D8" s="3">
        <f t="shared" si="1"/>
        <v>0</v>
      </c>
      <c r="E8" s="3">
        <f t="shared" si="1"/>
        <v>0</v>
      </c>
      <c r="F8" s="3">
        <f t="shared" si="1"/>
        <v>0</v>
      </c>
      <c r="G8" s="3">
        <f t="shared" si="1"/>
        <v>0</v>
      </c>
      <c r="H8" s="3">
        <f t="shared" si="1"/>
        <v>9.8064064411638355E-2</v>
      </c>
      <c r="I8" s="3">
        <f t="shared" si="1"/>
        <v>9.0506983007945005E-2</v>
      </c>
      <c r="J8" s="3">
        <f t="shared" si="1"/>
        <v>8.3483363297058327E-2</v>
      </c>
      <c r="K8" s="3">
        <f t="shared" si="1"/>
        <v>7.614907418508253E-2</v>
      </c>
      <c r="L8" s="3">
        <f t="shared" si="1"/>
        <v>0.16170277191321103</v>
      </c>
      <c r="M8" s="3">
        <f t="shared" si="1"/>
        <v>0.24432742263923077</v>
      </c>
      <c r="N8" s="3">
        <f t="shared" si="1"/>
        <v>0.32417091463675918</v>
      </c>
      <c r="O8" s="3">
        <f t="shared" si="1"/>
        <v>0.40137134507933414</v>
      </c>
      <c r="P8" s="3">
        <f t="shared" si="1"/>
        <v>0.47605781713500306</v>
      </c>
      <c r="Q8" s="3">
        <f t="shared" si="1"/>
        <v>0.53282487625645336</v>
      </c>
      <c r="R8" s="3">
        <f t="shared" si="1"/>
        <v>0.58780166857069505</v>
      </c>
      <c r="S8" s="3">
        <f t="shared" si="1"/>
        <v>0.6410715690354073</v>
      </c>
      <c r="T8" s="3">
        <f t="shared" si="1"/>
        <v>0.69271285458110043</v>
      </c>
      <c r="U8" s="3">
        <f t="shared" si="1"/>
        <v>0.74279908789796378</v>
      </c>
      <c r="V8" s="3">
        <f t="shared" si="1"/>
        <v>0.8045454617108202</v>
      </c>
      <c r="W8" s="3">
        <f t="shared" si="1"/>
        <v>0.86448684592783598</v>
      </c>
      <c r="X8" s="3">
        <f t="shared" si="1"/>
        <v>0.92270124644552631</v>
      </c>
      <c r="Y8" s="3">
        <f t="shared" si="1"/>
        <v>0.97926223810419977</v>
      </c>
      <c r="Z8" s="3">
        <f t="shared" si="1"/>
        <v>1</v>
      </c>
      <c r="AA8" s="3">
        <f t="shared" si="1"/>
        <v>1</v>
      </c>
      <c r="AB8" s="3">
        <f t="shared" si="1"/>
        <v>1</v>
      </c>
      <c r="AC8" s="3">
        <f t="shared" si="1"/>
        <v>1</v>
      </c>
      <c r="AD8" s="3">
        <f t="shared" si="1"/>
        <v>1</v>
      </c>
      <c r="AE8" s="3">
        <f t="shared" si="1"/>
        <v>1</v>
      </c>
    </row>
    <row r="9" spans="1:31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1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:31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1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1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1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spans="1:31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spans="1:31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2:31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2:31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2:31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2:31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2:31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2:31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2:31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2:31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2:31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2:31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2:31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9" spans="2:31">
      <c r="B29" s="3"/>
      <c r="C29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BA136-BC62-4073-9A64-988FF7A4A244}">
  <sheetPr>
    <tabColor theme="4" tint="-0.249977111117893"/>
  </sheetPr>
  <dimension ref="A1:AE28"/>
  <sheetViews>
    <sheetView tabSelected="1" workbookViewId="0">
      <selection activeCell="B7" sqref="B7"/>
    </sheetView>
  </sheetViews>
  <sheetFormatPr defaultRowHeight="14.5"/>
  <cols>
    <col min="1" max="1" width="46.26953125" customWidth="1"/>
    <col min="2" max="2" width="10.26953125" customWidth="1"/>
    <col min="3" max="3" width="10.453125" customWidth="1"/>
  </cols>
  <sheetData>
    <row r="1" spans="1:31">
      <c r="A1" s="2" t="s">
        <v>0</v>
      </c>
      <c r="B1" s="5">
        <v>2021</v>
      </c>
      <c r="C1" s="5">
        <v>2022</v>
      </c>
      <c r="D1" s="5">
        <v>2023</v>
      </c>
      <c r="E1" s="5">
        <v>2024</v>
      </c>
      <c r="F1" s="5">
        <v>2025</v>
      </c>
      <c r="G1" s="5">
        <v>2026</v>
      </c>
      <c r="H1" s="5">
        <v>2027</v>
      </c>
      <c r="I1" s="5">
        <v>2028</v>
      </c>
      <c r="J1" s="5">
        <v>2029</v>
      </c>
      <c r="K1" s="5">
        <v>2030</v>
      </c>
      <c r="L1" s="5">
        <v>2031</v>
      </c>
      <c r="M1" s="5">
        <v>2032</v>
      </c>
      <c r="N1" s="5">
        <v>2033</v>
      </c>
      <c r="O1" s="5">
        <v>2034</v>
      </c>
      <c r="P1" s="5">
        <v>2035</v>
      </c>
      <c r="Q1" s="5">
        <v>2036</v>
      </c>
      <c r="R1" s="5">
        <v>2037</v>
      </c>
      <c r="S1" s="5">
        <v>2038</v>
      </c>
      <c r="T1" s="5">
        <v>2039</v>
      </c>
      <c r="U1" s="5">
        <v>2040</v>
      </c>
      <c r="V1" s="5">
        <v>2041</v>
      </c>
      <c r="W1" s="5">
        <v>2042</v>
      </c>
      <c r="X1" s="5">
        <v>2043</v>
      </c>
      <c r="Y1" s="5">
        <v>2044</v>
      </c>
      <c r="Z1" s="5">
        <v>2045</v>
      </c>
      <c r="AA1" s="5">
        <v>2046</v>
      </c>
      <c r="AB1" s="5">
        <v>2047</v>
      </c>
      <c r="AC1" s="5">
        <v>2048</v>
      </c>
      <c r="AD1" s="5">
        <v>2049</v>
      </c>
      <c r="AE1" s="5">
        <v>2050</v>
      </c>
    </row>
    <row r="2" spans="1:31">
      <c r="A2" t="s">
        <v>5</v>
      </c>
      <c r="B2" s="3">
        <f>calcs!B3</f>
        <v>0</v>
      </c>
      <c r="C2" s="3">
        <f>calcs!C3</f>
        <v>0</v>
      </c>
      <c r="D2" s="3">
        <f>calcs!D3</f>
        <v>0</v>
      </c>
      <c r="E2" s="3">
        <f>calcs!E3</f>
        <v>0</v>
      </c>
      <c r="F2" s="3">
        <f>calcs!F3</f>
        <v>0</v>
      </c>
      <c r="G2" s="3">
        <f>calcs!G3</f>
        <v>0</v>
      </c>
      <c r="H2" s="3">
        <f>calcs!H3</f>
        <v>9.8064064411638355E-2</v>
      </c>
      <c r="I2" s="3">
        <f>calcs!I3</f>
        <v>9.0506983007945005E-2</v>
      </c>
      <c r="J2" s="3">
        <f>calcs!J3</f>
        <v>8.3483363297058327E-2</v>
      </c>
      <c r="K2" s="3">
        <f>calcs!K3</f>
        <v>7.614907418508253E-2</v>
      </c>
      <c r="L2" s="3">
        <f>calcs!L3</f>
        <v>0.16170277191321103</v>
      </c>
      <c r="M2" s="3">
        <f>calcs!M3</f>
        <v>0.24432742263923077</v>
      </c>
      <c r="N2" s="3">
        <f>calcs!N3</f>
        <v>0.32417091463675918</v>
      </c>
      <c r="O2" s="3">
        <f>calcs!O3</f>
        <v>0.40137134507933414</v>
      </c>
      <c r="P2" s="3">
        <f>calcs!P3</f>
        <v>0.47605781713500306</v>
      </c>
      <c r="Q2" s="3">
        <f>calcs!Q3</f>
        <v>0.53282487625645336</v>
      </c>
      <c r="R2" s="3">
        <f>calcs!R3</f>
        <v>0.58780166857069505</v>
      </c>
      <c r="S2" s="3">
        <f>calcs!S3</f>
        <v>0.6410715690354073</v>
      </c>
      <c r="T2" s="3">
        <f>calcs!T3</f>
        <v>0.69271285458110043</v>
      </c>
      <c r="U2" s="3">
        <f>calcs!U3</f>
        <v>0.74279908789796378</v>
      </c>
      <c r="V2" s="3">
        <f>calcs!V3</f>
        <v>0.8045454617108202</v>
      </c>
      <c r="W2" s="3">
        <f>calcs!W3</f>
        <v>0.86448684592783598</v>
      </c>
      <c r="X2" s="3">
        <f>calcs!X3</f>
        <v>0.92270124644552631</v>
      </c>
      <c r="Y2" s="3">
        <f>calcs!Y3</f>
        <v>0.97926223810419977</v>
      </c>
      <c r="Z2" s="3">
        <f>calcs!Z3</f>
        <v>1</v>
      </c>
      <c r="AA2" s="3">
        <f>calcs!AA3</f>
        <v>1</v>
      </c>
      <c r="AB2" s="3">
        <f>calcs!AB3</f>
        <v>1</v>
      </c>
      <c r="AC2" s="3">
        <f>calcs!AC3</f>
        <v>1</v>
      </c>
      <c r="AD2" s="3">
        <f>calcs!AD3</f>
        <v>1</v>
      </c>
      <c r="AE2" s="3">
        <f>calcs!AE3</f>
        <v>1</v>
      </c>
    </row>
    <row r="3" spans="1:31">
      <c r="A3" t="s">
        <v>6</v>
      </c>
      <c r="B3" s="3">
        <f>calcs!B4</f>
        <v>0</v>
      </c>
      <c r="C3" s="3">
        <f>calcs!C4</f>
        <v>0</v>
      </c>
      <c r="D3" s="3">
        <f>calcs!D4</f>
        <v>0</v>
      </c>
      <c r="E3" s="3">
        <f>calcs!E4</f>
        <v>0</v>
      </c>
      <c r="F3" s="3">
        <f>calcs!F4</f>
        <v>0</v>
      </c>
      <c r="G3" s="3">
        <f>calcs!G4</f>
        <v>0</v>
      </c>
      <c r="H3" s="3">
        <f>calcs!H4</f>
        <v>9.8064064411638355E-2</v>
      </c>
      <c r="I3" s="3">
        <f>calcs!I4</f>
        <v>9.0506983007945005E-2</v>
      </c>
      <c r="J3" s="3">
        <f>calcs!J4</f>
        <v>8.3483363297058327E-2</v>
      </c>
      <c r="K3" s="3">
        <f>calcs!K4</f>
        <v>7.614907418508253E-2</v>
      </c>
      <c r="L3" s="3">
        <f>calcs!L4</f>
        <v>0.16170277191321103</v>
      </c>
      <c r="M3" s="3">
        <f>calcs!M4</f>
        <v>0.24432742263923077</v>
      </c>
      <c r="N3" s="3">
        <f>calcs!N4</f>
        <v>0.32417091463675918</v>
      </c>
      <c r="O3" s="3">
        <f>calcs!O4</f>
        <v>0.40137134507933414</v>
      </c>
      <c r="P3" s="3">
        <f>calcs!P4</f>
        <v>0.47605781713500306</v>
      </c>
      <c r="Q3" s="3">
        <f>calcs!Q4</f>
        <v>0.53282487625645336</v>
      </c>
      <c r="R3" s="3">
        <f>calcs!R4</f>
        <v>0.58780166857069505</v>
      </c>
      <c r="S3" s="3">
        <f>calcs!S4</f>
        <v>0.6410715690354073</v>
      </c>
      <c r="T3" s="3">
        <f>calcs!T4</f>
        <v>0.69271285458110043</v>
      </c>
      <c r="U3" s="3">
        <f>calcs!U4</f>
        <v>0.74279908789796378</v>
      </c>
      <c r="V3" s="3">
        <f>calcs!V4</f>
        <v>0.8045454617108202</v>
      </c>
      <c r="W3" s="3">
        <f>calcs!W4</f>
        <v>0.86448684592783598</v>
      </c>
      <c r="X3" s="3">
        <f>calcs!X4</f>
        <v>0.92270124644552631</v>
      </c>
      <c r="Y3" s="3">
        <f>calcs!Y4</f>
        <v>0.97926223810419977</v>
      </c>
      <c r="Z3" s="3">
        <f>calcs!Z4</f>
        <v>1</v>
      </c>
      <c r="AA3" s="3">
        <f>calcs!AA4</f>
        <v>1</v>
      </c>
      <c r="AB3" s="3">
        <f>calcs!AB4</f>
        <v>1</v>
      </c>
      <c r="AC3" s="3">
        <f>calcs!AC4</f>
        <v>1</v>
      </c>
      <c r="AD3" s="3">
        <f>calcs!AD4</f>
        <v>1</v>
      </c>
      <c r="AE3" s="3">
        <f>calcs!AE4</f>
        <v>1</v>
      </c>
    </row>
    <row r="4" spans="1:31">
      <c r="A4" t="s">
        <v>7</v>
      </c>
      <c r="B4" s="3">
        <f>calcs!B5</f>
        <v>0.18000000000000005</v>
      </c>
      <c r="C4" s="3">
        <f>calcs!C5</f>
        <v>0.18000000000000005</v>
      </c>
      <c r="D4" s="3">
        <f>calcs!D5</f>
        <v>0.18000000000000005</v>
      </c>
      <c r="E4" s="3">
        <f>calcs!E5</f>
        <v>0.25</v>
      </c>
      <c r="F4" s="3">
        <f>calcs!F5</f>
        <v>0.5</v>
      </c>
      <c r="G4" s="3">
        <f>calcs!G5</f>
        <v>1</v>
      </c>
      <c r="H4" s="3">
        <f>calcs!H5</f>
        <v>1</v>
      </c>
      <c r="I4" s="3">
        <f>calcs!I5</f>
        <v>1</v>
      </c>
      <c r="J4" s="3">
        <f>calcs!J5</f>
        <v>1</v>
      </c>
      <c r="K4" s="3">
        <f>calcs!K5</f>
        <v>1</v>
      </c>
      <c r="L4" s="3">
        <f>calcs!L5</f>
        <v>1</v>
      </c>
      <c r="M4" s="3">
        <f>calcs!M5</f>
        <v>1</v>
      </c>
      <c r="N4" s="3">
        <f>calcs!N5</f>
        <v>1</v>
      </c>
      <c r="O4" s="3">
        <f>calcs!O5</f>
        <v>1</v>
      </c>
      <c r="P4" s="3">
        <f>calcs!P5</f>
        <v>1</v>
      </c>
      <c r="Q4" s="3">
        <f>calcs!Q5</f>
        <v>1</v>
      </c>
      <c r="R4" s="3">
        <f>calcs!R5</f>
        <v>1</v>
      </c>
      <c r="S4" s="3">
        <f>calcs!S5</f>
        <v>1</v>
      </c>
      <c r="T4" s="3">
        <f>calcs!T5</f>
        <v>1</v>
      </c>
      <c r="U4" s="3">
        <f>calcs!U5</f>
        <v>1</v>
      </c>
      <c r="V4" s="3">
        <f>calcs!V5</f>
        <v>1</v>
      </c>
      <c r="W4" s="3">
        <f>calcs!W5</f>
        <v>1</v>
      </c>
      <c r="X4" s="3">
        <f>calcs!X5</f>
        <v>1</v>
      </c>
      <c r="Y4" s="3">
        <f>calcs!Y5</f>
        <v>1</v>
      </c>
      <c r="Z4" s="3">
        <f>calcs!Z5</f>
        <v>0.96689424223107712</v>
      </c>
      <c r="AA4" s="3">
        <f>calcs!AA5</f>
        <v>0.967194329412564</v>
      </c>
      <c r="AB4" s="3">
        <f>calcs!AB5</f>
        <v>0.96748642055566558</v>
      </c>
      <c r="AC4" s="3">
        <f>calcs!AC5</f>
        <v>0.96777083104878181</v>
      </c>
      <c r="AD4" s="3">
        <f>calcs!AD5</f>
        <v>0.96804785990903552</v>
      </c>
      <c r="AE4" s="3">
        <f>calcs!AE5</f>
        <v>0.96831779083092218</v>
      </c>
    </row>
    <row r="5" spans="1:31">
      <c r="A5" t="s">
        <v>8</v>
      </c>
      <c r="B5" s="3">
        <f>calcs!B6</f>
        <v>0</v>
      </c>
      <c r="C5" s="3">
        <f>calcs!C6</f>
        <v>0</v>
      </c>
      <c r="D5" s="3">
        <f>calcs!D6</f>
        <v>0</v>
      </c>
      <c r="E5" s="3">
        <f>calcs!E6</f>
        <v>0</v>
      </c>
      <c r="F5" s="3">
        <f>calcs!F6</f>
        <v>0</v>
      </c>
      <c r="G5" s="3">
        <f>calcs!G6</f>
        <v>0</v>
      </c>
      <c r="H5" s="3">
        <f>calcs!H6</f>
        <v>0</v>
      </c>
      <c r="I5" s="3">
        <f>calcs!I6</f>
        <v>0</v>
      </c>
      <c r="J5" s="3">
        <f>calcs!J6</f>
        <v>0</v>
      </c>
      <c r="K5" s="3">
        <f>calcs!K6</f>
        <v>0</v>
      </c>
      <c r="L5" s="3">
        <f>calcs!L6</f>
        <v>0</v>
      </c>
      <c r="M5" s="3">
        <f>calcs!M6</f>
        <v>0</v>
      </c>
      <c r="N5" s="3">
        <f>calcs!N6</f>
        <v>0</v>
      </c>
      <c r="O5" s="3">
        <f>calcs!O6</f>
        <v>0</v>
      </c>
      <c r="P5" s="3">
        <f>calcs!P6</f>
        <v>0</v>
      </c>
      <c r="Q5" s="3">
        <f>calcs!Q6</f>
        <v>0</v>
      </c>
      <c r="R5" s="3">
        <f>calcs!R6</f>
        <v>0</v>
      </c>
      <c r="S5" s="3">
        <f>calcs!S6</f>
        <v>0</v>
      </c>
      <c r="T5" s="3">
        <f>calcs!T6</f>
        <v>0</v>
      </c>
      <c r="U5" s="3">
        <f>calcs!U6</f>
        <v>0</v>
      </c>
      <c r="V5" s="3">
        <f>calcs!V6</f>
        <v>0</v>
      </c>
      <c r="W5" s="3">
        <f>calcs!W6</f>
        <v>0</v>
      </c>
      <c r="X5" s="3">
        <f>calcs!X6</f>
        <v>0</v>
      </c>
      <c r="Y5" s="3">
        <f>calcs!Y6</f>
        <v>0</v>
      </c>
      <c r="Z5" s="3">
        <f>calcs!Z6</f>
        <v>0</v>
      </c>
      <c r="AA5" s="3">
        <f>calcs!AA6</f>
        <v>0</v>
      </c>
      <c r="AB5" s="3">
        <f>calcs!AB6</f>
        <v>0</v>
      </c>
      <c r="AC5" s="3">
        <f>calcs!AC6</f>
        <v>0</v>
      </c>
      <c r="AD5" s="3">
        <f>calcs!AD6</f>
        <v>0</v>
      </c>
      <c r="AE5" s="3">
        <f>calcs!AE6</f>
        <v>0</v>
      </c>
    </row>
    <row r="6" spans="1:31">
      <c r="A6" t="s">
        <v>9</v>
      </c>
      <c r="B6" s="3">
        <f>calcs!B7</f>
        <v>0</v>
      </c>
      <c r="C6" s="3">
        <f>calcs!C7</f>
        <v>0</v>
      </c>
      <c r="D6" s="3">
        <f>calcs!D7</f>
        <v>0</v>
      </c>
      <c r="E6" s="3">
        <f>calcs!E7</f>
        <v>0</v>
      </c>
      <c r="F6" s="3">
        <f>calcs!F7</f>
        <v>0</v>
      </c>
      <c r="G6" s="3">
        <f>calcs!G7</f>
        <v>0</v>
      </c>
      <c r="H6" s="3">
        <f>calcs!H7</f>
        <v>0</v>
      </c>
      <c r="I6" s="3">
        <f>calcs!I7</f>
        <v>0</v>
      </c>
      <c r="J6" s="3">
        <f>calcs!J7</f>
        <v>0</v>
      </c>
      <c r="K6" s="3">
        <f>calcs!K7</f>
        <v>0</v>
      </c>
      <c r="L6" s="3">
        <f>calcs!L7</f>
        <v>0</v>
      </c>
      <c r="M6" s="3">
        <f>calcs!M7</f>
        <v>0</v>
      </c>
      <c r="N6" s="3">
        <f>calcs!N7</f>
        <v>0</v>
      </c>
      <c r="O6" s="3">
        <f>calcs!O7</f>
        <v>0</v>
      </c>
      <c r="P6" s="3">
        <f>calcs!P7</f>
        <v>0</v>
      </c>
      <c r="Q6" s="3">
        <f>calcs!Q7</f>
        <v>0</v>
      </c>
      <c r="R6" s="3">
        <f>calcs!R7</f>
        <v>0</v>
      </c>
      <c r="S6" s="3">
        <f>calcs!S7</f>
        <v>0</v>
      </c>
      <c r="T6" s="3">
        <f>calcs!T7</f>
        <v>0</v>
      </c>
      <c r="U6" s="3">
        <f>calcs!U7</f>
        <v>0</v>
      </c>
      <c r="V6" s="3">
        <f>calcs!V7</f>
        <v>0</v>
      </c>
      <c r="W6" s="3">
        <f>calcs!W7</f>
        <v>0</v>
      </c>
      <c r="X6" s="3">
        <f>calcs!X7</f>
        <v>0</v>
      </c>
      <c r="Y6" s="3">
        <f>calcs!Y7</f>
        <v>0</v>
      </c>
      <c r="Z6" s="3">
        <f>calcs!Z7</f>
        <v>0</v>
      </c>
      <c r="AA6" s="3">
        <f>calcs!AA7</f>
        <v>0</v>
      </c>
      <c r="AB6" s="3">
        <f>calcs!AB7</f>
        <v>0</v>
      </c>
      <c r="AC6" s="3">
        <f>calcs!AC7</f>
        <v>0</v>
      </c>
      <c r="AD6" s="3">
        <f>calcs!AD7</f>
        <v>0</v>
      </c>
      <c r="AE6" s="3">
        <f>calcs!AE7</f>
        <v>0</v>
      </c>
    </row>
    <row r="7" spans="1:31">
      <c r="A7" t="s">
        <v>10</v>
      </c>
      <c r="B7" s="3">
        <f>calcs!B8</f>
        <v>0</v>
      </c>
      <c r="C7" s="3">
        <f>calcs!C8</f>
        <v>0</v>
      </c>
      <c r="D7" s="3">
        <f>calcs!D8</f>
        <v>0</v>
      </c>
      <c r="E7" s="3">
        <f>calcs!E8</f>
        <v>0</v>
      </c>
      <c r="F7" s="3">
        <f>calcs!F8</f>
        <v>0</v>
      </c>
      <c r="G7" s="3">
        <f>calcs!G8</f>
        <v>0</v>
      </c>
      <c r="H7" s="3">
        <f>calcs!H8</f>
        <v>9.8064064411638355E-2</v>
      </c>
      <c r="I7" s="3">
        <f>calcs!I8</f>
        <v>9.0506983007945005E-2</v>
      </c>
      <c r="J7" s="3">
        <f>calcs!J8</f>
        <v>8.3483363297058327E-2</v>
      </c>
      <c r="K7" s="3">
        <f>calcs!K8</f>
        <v>7.614907418508253E-2</v>
      </c>
      <c r="L7" s="3">
        <f>calcs!L8</f>
        <v>0.16170277191321103</v>
      </c>
      <c r="M7" s="3">
        <f>calcs!M8</f>
        <v>0.24432742263923077</v>
      </c>
      <c r="N7" s="3">
        <f>calcs!N8</f>
        <v>0.32417091463675918</v>
      </c>
      <c r="O7" s="3">
        <f>calcs!O8</f>
        <v>0.40137134507933414</v>
      </c>
      <c r="P7" s="3">
        <f>calcs!P8</f>
        <v>0.47605781713500306</v>
      </c>
      <c r="Q7" s="3">
        <f>calcs!Q8</f>
        <v>0.53282487625645336</v>
      </c>
      <c r="R7" s="3">
        <f>calcs!R8</f>
        <v>0.58780166857069505</v>
      </c>
      <c r="S7" s="3">
        <f>calcs!S8</f>
        <v>0.6410715690354073</v>
      </c>
      <c r="T7" s="3">
        <f>calcs!T8</f>
        <v>0.69271285458110043</v>
      </c>
      <c r="U7" s="3">
        <f>calcs!U8</f>
        <v>0.74279908789796378</v>
      </c>
      <c r="V7" s="3">
        <f>calcs!V8</f>
        <v>0.8045454617108202</v>
      </c>
      <c r="W7" s="3">
        <f>calcs!W8</f>
        <v>0.86448684592783598</v>
      </c>
      <c r="X7" s="3">
        <f>calcs!X8</f>
        <v>0.92270124644552631</v>
      </c>
      <c r="Y7" s="3">
        <f>calcs!Y8</f>
        <v>0.97926223810419977</v>
      </c>
      <c r="Z7" s="3">
        <f>calcs!Z8</f>
        <v>1</v>
      </c>
      <c r="AA7" s="3">
        <f>calcs!AA8</f>
        <v>1</v>
      </c>
      <c r="AB7" s="3">
        <f>calcs!AB8</f>
        <v>1</v>
      </c>
      <c r="AC7" s="3">
        <f>calcs!AC8</f>
        <v>1</v>
      </c>
      <c r="AD7" s="3">
        <f>calcs!AD8</f>
        <v>1</v>
      </c>
      <c r="AE7" s="3">
        <f>calcs!AE8</f>
        <v>1</v>
      </c>
    </row>
    <row r="8" spans="1:31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spans="1:31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1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:31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1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1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1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spans="1:31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spans="1:31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2:31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2:31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2:31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2:31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2:31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2:31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2:31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2:31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2:31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2:31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8" spans="2:31">
      <c r="B28" s="3"/>
      <c r="C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Data</vt:lpstr>
      <vt:lpstr>fuels-FoICStCT Projections</vt:lpstr>
      <vt:lpstr>calcs</vt:lpstr>
      <vt:lpstr>FoVTStCT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Daniel O'Brien</cp:lastModifiedBy>
  <dcterms:created xsi:type="dcterms:W3CDTF">2022-02-18T21:44:37Z</dcterms:created>
  <dcterms:modified xsi:type="dcterms:W3CDTF">2024-04-02T15:33:46Z</dcterms:modified>
</cp:coreProperties>
</file>