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BVS\"/>
    </mc:Choice>
  </mc:AlternateContent>
  <xr:revisionPtr revIDLastSave="0" documentId="8_{02D61C7C-3B18-4B65-814C-BD340C6EAB8F}" xr6:coauthVersionLast="47" xr6:coauthVersionMax="47" xr10:uidLastSave="{00000000-0000-0000-0000-000000000000}"/>
  <bookViews>
    <workbookView xWindow="31470" yWindow="2670" windowWidth="21600" windowHeight="12525" firstSheet="12" activeTab="14" xr2:uid="{D68DFB6A-9D5A-4FC8-9C4B-C423C4F64C4C}"/>
  </bookViews>
  <sheets>
    <sheet name="About" sheetId="1" r:id="rId1"/>
    <sheet name="Passenger " sheetId="2" r:id="rId2"/>
    <sheet name="Passenger NEW" sheetId="18" r:id="rId3"/>
    <sheet name="Freight" sheetId="15" r:id="rId4"/>
    <sheet name="Freight NEW" sheetId="19" r:id="rId5"/>
    <sheet name="psgr" sheetId="16" r:id="rId6"/>
    <sheet name="BVS-psgr-LDVs" sheetId="3" r:id="rId7"/>
    <sheet name="BVS-psgr-HDVs" sheetId="4" r:id="rId8"/>
    <sheet name="BVS-psgr-aircraft" sheetId="5" r:id="rId9"/>
    <sheet name="BVS-psgr-ships" sheetId="6" r:id="rId10"/>
    <sheet name="BVS-psgr-motorbikes" sheetId="7" r:id="rId11"/>
    <sheet name="BVS-psgr-rail" sheetId="8" r:id="rId12"/>
    <sheet name="frgt" sheetId="17" r:id="rId13"/>
    <sheet name="BVS-frgt-LDVs" sheetId="9" r:id="rId14"/>
    <sheet name="BVS-frgt-HDVs" sheetId="10" r:id="rId15"/>
    <sheet name="BVS-frgt-aircraft" sheetId="11" r:id="rId16"/>
    <sheet name="BVS-frgt-ships" sheetId="12" r:id="rId17"/>
    <sheet name="BVS-frgt-motorbikes" sheetId="13" r:id="rId18"/>
    <sheet name="BVS-frgt-rail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9" l="1"/>
  <c r="E8" i="10"/>
  <c r="F8" i="10"/>
  <c r="G8" i="10"/>
  <c r="H8" i="10"/>
  <c r="I8" i="10"/>
  <c r="J8" i="10"/>
  <c r="E2" i="4"/>
  <c r="E6" i="4"/>
  <c r="I6" i="4" s="1"/>
  <c r="E8" i="4"/>
  <c r="E2" i="10"/>
  <c r="F2" i="10" s="1"/>
  <c r="G8" i="4"/>
  <c r="F2" i="9"/>
  <c r="E6" i="9"/>
  <c r="B20" i="1"/>
  <c r="H34" i="19"/>
  <c r="G34" i="19"/>
  <c r="F34" i="19"/>
  <c r="E34" i="19"/>
  <c r="C34" i="19"/>
  <c r="B34" i="19"/>
  <c r="J12" i="19"/>
  <c r="J34" i="19" s="1"/>
  <c r="I12" i="19"/>
  <c r="I34" i="19" s="1"/>
  <c r="H12" i="19"/>
  <c r="J9" i="19"/>
  <c r="H9" i="19"/>
  <c r="J8" i="19"/>
  <c r="I8" i="19"/>
  <c r="H8" i="19"/>
  <c r="D34" i="19"/>
  <c r="J61" i="18"/>
  <c r="E71" i="18"/>
  <c r="D71" i="18"/>
  <c r="B71" i="18"/>
  <c r="J70" i="18"/>
  <c r="G70" i="18"/>
  <c r="F70" i="18"/>
  <c r="J69" i="18"/>
  <c r="J68" i="18"/>
  <c r="J67" i="18"/>
  <c r="J66" i="18"/>
  <c r="J65" i="18"/>
  <c r="J64" i="18"/>
  <c r="J63" i="18"/>
  <c r="J62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G45" i="18"/>
  <c r="G71" i="18" s="1"/>
  <c r="F45" i="18"/>
  <c r="J44" i="18"/>
  <c r="C71" i="18"/>
  <c r="D35" i="18"/>
  <c r="I32" i="18"/>
  <c r="I31" i="18"/>
  <c r="I30" i="18"/>
  <c r="E30" i="18"/>
  <c r="D30" i="18"/>
  <c r="F30" i="18" s="1"/>
  <c r="I29" i="18"/>
  <c r="D29" i="18"/>
  <c r="I28" i="18"/>
  <c r="E28" i="18"/>
  <c r="D28" i="18"/>
  <c r="I27" i="18"/>
  <c r="I26" i="18"/>
  <c r="D26" i="18"/>
  <c r="F26" i="18" s="1"/>
  <c r="I25" i="18"/>
  <c r="I24" i="18"/>
  <c r="I23" i="18"/>
  <c r="E23" i="18"/>
  <c r="D23" i="18"/>
  <c r="I22" i="18"/>
  <c r="D22" i="18"/>
  <c r="I21" i="18"/>
  <c r="I20" i="18"/>
  <c r="D20" i="18"/>
  <c r="E20" i="18" s="1"/>
  <c r="I19" i="18"/>
  <c r="I18" i="18"/>
  <c r="D18" i="18"/>
  <c r="I17" i="18"/>
  <c r="I16" i="18"/>
  <c r="D16" i="18"/>
  <c r="I15" i="18"/>
  <c r="F15" i="18"/>
  <c r="I14" i="18"/>
  <c r="I13" i="18"/>
  <c r="F13" i="18"/>
  <c r="I12" i="18"/>
  <c r="I11" i="18"/>
  <c r="I10" i="18"/>
  <c r="I9" i="18"/>
  <c r="I8" i="18"/>
  <c r="I7" i="18"/>
  <c r="I6" i="18"/>
  <c r="C69" i="2"/>
  <c r="D69" i="2"/>
  <c r="E73" i="2" s="1"/>
  <c r="D34" i="15"/>
  <c r="D74" i="2"/>
  <c r="F73" i="2"/>
  <c r="G2" i="10" l="1"/>
  <c r="J2" i="10"/>
  <c r="H2" i="10"/>
  <c r="I2" i="10"/>
  <c r="G6" i="4"/>
  <c r="F8" i="4"/>
  <c r="H6" i="4"/>
  <c r="J6" i="4"/>
  <c r="I8" i="4"/>
  <c r="H8" i="4"/>
  <c r="F6" i="4"/>
  <c r="J8" i="4"/>
  <c r="E35" i="18"/>
  <c r="F71" i="18"/>
  <c r="D36" i="18"/>
  <c r="F16" i="18"/>
  <c r="D76" i="18"/>
  <c r="J2" i="4" s="1"/>
  <c r="E36" i="18"/>
  <c r="E76" i="18"/>
  <c r="E75" i="18"/>
  <c r="D75" i="18"/>
  <c r="F36" i="18"/>
  <c r="F75" i="18"/>
  <c r="F76" i="18"/>
  <c r="F35" i="18"/>
  <c r="B34" i="15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4" i="2"/>
  <c r="I2" i="4" l="1"/>
  <c r="H2" i="4"/>
  <c r="G2" i="4"/>
  <c r="F2" i="4"/>
  <c r="E74" i="2"/>
  <c r="E69" i="2"/>
  <c r="B69" i="2"/>
  <c r="D73" i="2" s="1"/>
  <c r="G68" i="2"/>
  <c r="F68" i="2"/>
  <c r="G43" i="2"/>
  <c r="F43" i="2"/>
  <c r="F74" i="2" s="1"/>
  <c r="C42" i="2"/>
  <c r="E3" i="10"/>
  <c r="F3" i="10"/>
  <c r="G3" i="10"/>
  <c r="H3" i="10"/>
  <c r="I3" i="10"/>
  <c r="J3" i="10"/>
  <c r="E4" i="10"/>
  <c r="F4" i="10"/>
  <c r="G4" i="10"/>
  <c r="H4" i="10"/>
  <c r="I4" i="10"/>
  <c r="J4" i="10"/>
  <c r="E5" i="10"/>
  <c r="F5" i="10"/>
  <c r="G5" i="10"/>
  <c r="H5" i="10"/>
  <c r="I5" i="10"/>
  <c r="J5" i="10"/>
  <c r="E6" i="10"/>
  <c r="F6" i="10"/>
  <c r="G6" i="10"/>
  <c r="H6" i="10"/>
  <c r="I6" i="10"/>
  <c r="J6" i="10"/>
  <c r="E7" i="10"/>
  <c r="F7" i="10"/>
  <c r="G7" i="10"/>
  <c r="H7" i="10"/>
  <c r="I7" i="10"/>
  <c r="J7" i="10"/>
  <c r="E3" i="9"/>
  <c r="F3" i="9"/>
  <c r="G3" i="9"/>
  <c r="H3" i="9"/>
  <c r="I3" i="9"/>
  <c r="J3" i="9"/>
  <c r="E4" i="9"/>
  <c r="F4" i="9"/>
  <c r="G4" i="9"/>
  <c r="H4" i="9"/>
  <c r="I4" i="9"/>
  <c r="J4" i="9"/>
  <c r="E5" i="9"/>
  <c r="F5" i="9"/>
  <c r="G5" i="9"/>
  <c r="H5" i="9"/>
  <c r="I5" i="9"/>
  <c r="J5" i="9"/>
  <c r="E7" i="9"/>
  <c r="F7" i="9"/>
  <c r="G7" i="9"/>
  <c r="H7" i="9"/>
  <c r="I7" i="9"/>
  <c r="J7" i="9"/>
  <c r="F3" i="4"/>
  <c r="G3" i="4"/>
  <c r="H3" i="4"/>
  <c r="I3" i="4"/>
  <c r="J3" i="4"/>
  <c r="F4" i="4"/>
  <c r="G4" i="4"/>
  <c r="H4" i="4"/>
  <c r="I4" i="4"/>
  <c r="J4" i="4"/>
  <c r="F5" i="4"/>
  <c r="G5" i="4"/>
  <c r="H5" i="4"/>
  <c r="I5" i="4"/>
  <c r="J5" i="4"/>
  <c r="F7" i="4"/>
  <c r="G7" i="4"/>
  <c r="H7" i="4"/>
  <c r="I7" i="4"/>
  <c r="J7" i="4"/>
  <c r="E3" i="4"/>
  <c r="E4" i="4"/>
  <c r="E5" i="4"/>
  <c r="E7" i="4"/>
  <c r="E3" i="3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7" i="3"/>
  <c r="F7" i="3"/>
  <c r="G7" i="3"/>
  <c r="H7" i="3"/>
  <c r="I7" i="3"/>
  <c r="J7" i="3"/>
  <c r="I34" i="15"/>
  <c r="I12" i="15"/>
  <c r="J12" i="15"/>
  <c r="H12" i="15"/>
  <c r="J9" i="15"/>
  <c r="H9" i="15"/>
  <c r="I8" i="15"/>
  <c r="J8" i="15"/>
  <c r="H8" i="15"/>
  <c r="F13" i="2"/>
  <c r="F11" i="2"/>
  <c r="C34" i="15"/>
  <c r="E34" i="15"/>
  <c r="F34" i="15"/>
  <c r="G34" i="15"/>
  <c r="D7" i="15"/>
  <c r="E26" i="2"/>
  <c r="D27" i="2"/>
  <c r="D26" i="2"/>
  <c r="D34" i="2"/>
  <c r="E28" i="2"/>
  <c r="D28" i="2"/>
  <c r="D24" i="2"/>
  <c r="E21" i="2"/>
  <c r="D21" i="2"/>
  <c r="D20" i="2"/>
  <c r="D18" i="2"/>
  <c r="E18" i="2" s="1"/>
  <c r="E34" i="2" s="1"/>
  <c r="D16" i="2"/>
  <c r="D14" i="2"/>
  <c r="B8" i="4" l="1"/>
  <c r="C8" i="4"/>
  <c r="D8" i="4"/>
  <c r="B2" i="4"/>
  <c r="H34" i="15"/>
  <c r="D8" i="9" s="1"/>
  <c r="J8" i="9" s="1"/>
  <c r="D6" i="4"/>
  <c r="B6" i="4"/>
  <c r="C6" i="4"/>
  <c r="D2" i="4"/>
  <c r="C2" i="4"/>
  <c r="F69" i="2"/>
  <c r="F24" i="2"/>
  <c r="C6" i="3"/>
  <c r="F28" i="2"/>
  <c r="D33" i="2"/>
  <c r="G69" i="2"/>
  <c r="E33" i="2"/>
  <c r="J34" i="15"/>
  <c r="B8" i="10" s="1"/>
  <c r="C6" i="9"/>
  <c r="B2" i="9"/>
  <c r="F14" i="2"/>
  <c r="D2" i="10"/>
  <c r="C2" i="10"/>
  <c r="B2" i="10"/>
  <c r="B6" i="9"/>
  <c r="D2" i="9"/>
  <c r="C2" i="9"/>
  <c r="D6" i="9"/>
  <c r="D8" i="10" l="1"/>
  <c r="B8" i="9"/>
  <c r="C8" i="9"/>
  <c r="F34" i="2"/>
  <c r="C8" i="10"/>
  <c r="B6" i="3"/>
  <c r="D6" i="3"/>
  <c r="B2" i="3"/>
  <c r="D2" i="3"/>
  <c r="F33" i="2"/>
  <c r="I8" i="9"/>
  <c r="G8" i="9"/>
  <c r="E8" i="9"/>
  <c r="H8" i="9"/>
  <c r="F8" i="9"/>
  <c r="F6" i="9"/>
  <c r="G6" i="9"/>
  <c r="H6" i="9"/>
  <c r="I6" i="9"/>
  <c r="J6" i="9"/>
  <c r="G2" i="9"/>
  <c r="H2" i="9"/>
  <c r="I2" i="9"/>
  <c r="J2" i="9"/>
  <c r="C2" i="3" l="1"/>
  <c r="B8" i="3"/>
  <c r="C8" i="3"/>
  <c r="D8" i="3"/>
  <c r="E8" i="3" s="1"/>
  <c r="F6" i="3"/>
  <c r="G6" i="3"/>
  <c r="H6" i="3"/>
  <c r="I6" i="3"/>
  <c r="J6" i="3"/>
  <c r="E6" i="3"/>
  <c r="J8" i="3" l="1"/>
  <c r="I8" i="3"/>
  <c r="H8" i="3"/>
  <c r="G8" i="3"/>
  <c r="F8" i="3"/>
  <c r="E2" i="3"/>
  <c r="F2" i="3"/>
  <c r="G2" i="3"/>
  <c r="H2" i="3"/>
  <c r="I2" i="3"/>
  <c r="J2" i="3"/>
</calcChain>
</file>

<file path=xl/sharedStrings.xml><?xml version="1.0" encoding="utf-8"?>
<sst xmlns="http://schemas.openxmlformats.org/spreadsheetml/2006/main" count="863" uniqueCount="122">
  <si>
    <t>BVS BAU Vehicle Subsidy</t>
  </si>
  <si>
    <t>Sources</t>
  </si>
  <si>
    <t>Notes</t>
  </si>
  <si>
    <t>Austria</t>
  </si>
  <si>
    <t>Tax</t>
  </si>
  <si>
    <t>Subsidies</t>
  </si>
  <si>
    <t>Belgium</t>
  </si>
  <si>
    <t>Bulgaria</t>
  </si>
  <si>
    <t>-</t>
  </si>
  <si>
    <t>Croatia</t>
  </si>
  <si>
    <t>Cyprus</t>
  </si>
  <si>
    <t>Czech</t>
  </si>
  <si>
    <t>Yes but no data</t>
  </si>
  <si>
    <t>Denmark</t>
  </si>
  <si>
    <t>Estonia</t>
  </si>
  <si>
    <t>Finland</t>
  </si>
  <si>
    <t>France</t>
  </si>
  <si>
    <t>Germany</t>
  </si>
  <si>
    <t>Greece</t>
  </si>
  <si>
    <t>• 30% cashback on NRP
for BEVs, with a max
cashback of €8,000.
Extra €1,000 if a car of ≥
10 years is scrapped, or
the buyer is ≤ 29 years old.
• 40% cashback on NRP
for BEV taxis, with
a max cashback of
€17,500. Extra €5,000 for
scrapping the old taxi,
which is mandatory.</t>
  </si>
  <si>
    <t xml:space="preserve">Hungary </t>
  </si>
  <si>
    <t>Ireland</t>
  </si>
  <si>
    <t>From 15 June 2020, purchase incentives for electric cars: • €7,350 for a gross price of up to €32,000 • €1,500 if the price is between €32,000-44,000</t>
  </si>
  <si>
    <t>Purchase incentives for individuals in 2021: • Up to €5,000 for BEVs • Up to €5,000 for PHEVs with ≤ 50g CO2/ km and full-electric range of ≥ 50km</t>
  </si>
  <si>
    <t>Italy</t>
  </si>
  <si>
    <t>Latvia</t>
  </si>
  <si>
    <t>Purchase incentives (bonus) for individuals in 2021: • €2,500 for a used M1 electric vehicle with first registration after 2 April 2016, or model year 2016 and later • €5,000 for a new M1 electric vehicle not older than six months from the first registration • Additional €1,000 for scrapping old diesel or petrol M1, owned for at least 12 months, and with a valid MOT for the dates: 2 February 2021 or 13 March 2020</t>
  </si>
  <si>
    <t>• BEVs: ≤ 18 kWh: €8,000 &gt; 18 kWh: €3,000 • PHEVs: ≤ 50g CO2/km: €2,500</t>
  </si>
  <si>
    <t>BEVs: • €11,000 for individuals • Up to €20,000 for companies (additional incentive if established in and operating from certain localities</t>
  </si>
  <si>
    <t>Lithuania</t>
  </si>
  <si>
    <t>Luxemburg</t>
  </si>
  <si>
    <t>Malta</t>
  </si>
  <si>
    <t>• Subsidy scheme (SEPP) for individuals to buy/ lease a small or compact BEV car, new or used. • Arbitrary depreciation of environmental investments scheme (Vamil) for FCEV cars or taxis and BEV cars equipped with solar panels. For more details: www.rvo.nl/subsidie-enfinancieringswijzer.</t>
  </si>
  <si>
    <t>Private users: €3,000 to buy a new BEV (M1 vehicle), with purchasing price of up to €62,500, limited to one vehicle per person.</t>
  </si>
  <si>
    <t>Nertherland</t>
  </si>
  <si>
    <t>Poland</t>
  </si>
  <si>
    <t>Portugal</t>
  </si>
  <si>
    <t>Renewal scheme (RABLA) for cars: • Up to €3,300 for a HEV (≤ 160g CO2/km) • Up to €6,400 for a PHEV (≤ 78g CO2/km) • Up to €11,500 for a BEV</t>
  </si>
  <si>
    <t>Incentive scheme: up to €4,500 for BEVs.</t>
  </si>
  <si>
    <t>Incentive scheme (MOVES III) in 2021-2023: • Cars (M1): €4,500-7,000 for BEVs and FCEVs, and €2,500-5,000 for PHEVs, for private individuals, depending on whether a vehicle is being scrapped</t>
  </si>
  <si>
    <t>Romania</t>
  </si>
  <si>
    <t>Spain</t>
  </si>
  <si>
    <t xml:space="preserve">Slovakia </t>
  </si>
  <si>
    <t>Sweden</t>
  </si>
  <si>
    <t>Subsidy BEV</t>
  </si>
  <si>
    <t>Subsidy Plug in Hybrid</t>
  </si>
  <si>
    <t>?</t>
  </si>
  <si>
    <t>Purchase incentives for individuals and legal persons (purchase, leasing): from PLN 18,750 (4350€) to PLN 27,000 (6080€) for BEVs and FCEVs of a max price of PLN 225,000</t>
  </si>
  <si>
    <t>Mean</t>
  </si>
  <si>
    <t>BEV</t>
  </si>
  <si>
    <t>PHEV</t>
  </si>
  <si>
    <t>BEV (€)</t>
  </si>
  <si>
    <t>PHEV (€)</t>
  </si>
  <si>
    <t>Subsidy (2012 USD)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</si>
  <si>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</si>
  <si>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</si>
  <si>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</si>
  <si>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</si>
  <si>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</si>
  <si>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</si>
  <si>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</si>
  <si>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See "cpi.xlsx" in the InputData folder for source information.</t>
  </si>
  <si>
    <t xml:space="preserve">Poland </t>
  </si>
  <si>
    <t>HDV passenger</t>
  </si>
  <si>
    <t>https://www.acea.auto/files/Electric_commercial_vehicles_Tax_benefits-and_purchase_incentives_2023.pdf</t>
  </si>
  <si>
    <t>Subsidy vehicles &gt;5t</t>
  </si>
  <si>
    <t>Subsidy vehicles &lt;5t</t>
  </si>
  <si>
    <t>Subsidy HDV &gt; 12t</t>
  </si>
  <si>
    <t>Subsidy LDV &lt; 3,5t</t>
  </si>
  <si>
    <t>Subsidy HDV &gt; 3,5t</t>
  </si>
  <si>
    <t>Freight</t>
  </si>
  <si>
    <t>Slovenia</t>
  </si>
  <si>
    <t>Slovakia</t>
  </si>
  <si>
    <t xml:space="preserve">Italy </t>
  </si>
  <si>
    <t xml:space="preserve">Greece </t>
  </si>
  <si>
    <t xml:space="preserve">Germany </t>
  </si>
  <si>
    <t xml:space="preserve">Czech </t>
  </si>
  <si>
    <t xml:space="preserve">Belgium </t>
  </si>
  <si>
    <t>Hungary</t>
  </si>
  <si>
    <t>Date</t>
  </si>
  <si>
    <t>Unitl 2023</t>
  </si>
  <si>
    <t>From 2030</t>
  </si>
  <si>
    <t>From 2020</t>
  </si>
  <si>
    <t>In 2021</t>
  </si>
  <si>
    <t>2021-2023</t>
  </si>
  <si>
    <t>Until 2023</t>
  </si>
  <si>
    <t>2022-2025</t>
  </si>
  <si>
    <t>in 2021</t>
  </si>
  <si>
    <t>Until 2026</t>
  </si>
  <si>
    <t>HDV</t>
  </si>
  <si>
    <t>This value is taken for freight HDVs</t>
  </si>
  <si>
    <t>FCEV</t>
  </si>
  <si>
    <t>Subsidy LDV &lt; 3,5t (N1)</t>
  </si>
  <si>
    <t>Subsidy HDV &gt; 3,5t (N2)</t>
  </si>
  <si>
    <t>Subsidy HDV &gt; 12t (N3)</t>
  </si>
  <si>
    <t xml:space="preserve">means that it is clear there is no subvention at all provided by the country </t>
  </si>
  <si>
    <t>means that it is unclear if the suvention is applied to this type of vehicule or to this type of technology. OR the amount is unclear</t>
  </si>
  <si>
    <t>https://www.ecb.europa.eu/stats/policy_and_exchange_rates/euro_reference_exchange_rates/html/eurofxref-graph-usd.fr.html</t>
  </si>
  <si>
    <t>We adjust 2022 euro to 2022 dollars using the following conversion factor:</t>
  </si>
  <si>
    <t>We adjust 2022 dollars to 2012 dollars using the following conversion factor:</t>
  </si>
  <si>
    <t>FCEV (€)</t>
  </si>
  <si>
    <t xml:space="preserve">Passenger cars </t>
  </si>
  <si>
    <t>ACEA (European Automobile Manufacturers' Association): TAX BENEFITS AND PURCHASE INCENTIVES for Electric passenger cars | 27 EU member states (2023)</t>
  </si>
  <si>
    <t>2023 Subsidies for electric passengers cars</t>
  </si>
  <si>
    <t>ACEA (European Automobile Manufacturers' Association): TAX BENEFITS AND PURCHASE INCENTIVES for Electric commercial vehicles | 27 EU member states (2023)</t>
  </si>
  <si>
    <t>2023 Subsidies for electric commercial vehicles</t>
  </si>
  <si>
    <t>https://www.acea.auto/files/Electric_cars-Tax_benefits__purchase_incentives_2023.pdf</t>
  </si>
  <si>
    <t xml:space="preserve">Bonus until the end of 2023 for the purchase (private use) of new cars with a fully electric range of ≥ 60km and gross list price of ≤ €60,000:
• €3,000 for BEVs and FCEVs
• €1,250 for PHEVs and EREVs
Additional incentives are granted by provinces and communities. </t>
  </si>
  <si>
    <t>• Up to €12,000 to scrap and replace with a vehicle emitting &lt; 50g CO2/km and costing ≤ €80,000.
• Up to €19,000 to buy a BEV (≤ €80,000) + €1,000 to scrap an old car</t>
  </si>
  <si>
    <t>Incentive scheme (once per year, limited funds): 
• €9,291 for BEVs 
• €5,309 for PHEVs</t>
  </si>
  <si>
    <t>New M1 BEVs and FCEVs (purchase and leasing):
• €5,000/vehicle for individuals
• €4,000/vehicle for legal persons</t>
  </si>
  <si>
    <t>Bonus for a new BEV or FCEV:
• €5,000 for households if vehicle ≤ €47,000
• €3,000 for legal persons if vehicle ≤ €47,000
Scrappage scheme for a second-hand or new BEV or FCEV of ≤ €47,000: 
• up to €6,000, based on income.</t>
  </si>
  <si>
    <t>• Bonus for new cars with a net list price ≤ €40,000: €6,750 
• Bonus for new cars with a net list price &gt; €40,000 and ≤ €65,000: €4,500 
• From 1 September 2023, only private individuals will be able to apply for funding. 
• From 1 January 2024, reduction in funding and stricter requirements.</t>
  </si>
  <si>
    <t>https://www.acea.auto/files/ACEA-report-vehicles-in-use-europe-2022.pdf</t>
  </si>
  <si>
    <t>Number of passenger cars per country</t>
  </si>
  <si>
    <t>%EU</t>
  </si>
  <si>
    <t>• €3,000 (€5,000 with scrappage) for a BEV/ PHEV emitting ≤ 20g CO2/ km and with a selling price of ≤ €35,000 + VAT. 
• €2,000 (€4,000 with scrappage) for a BEV/ PHEV emitting 21-60g CO2/km and with a selling price of ≤ €45,000 + VAT.</t>
  </si>
  <si>
    <t>Average</t>
  </si>
  <si>
    <t>Subsidies for passenger cars</t>
  </si>
  <si>
    <t>Weighted average</t>
  </si>
  <si>
    <t>Germany ended subsidies for electric buses and trucks in 2024; removes subsidy for countries with subsidies ending in 2023</t>
  </si>
  <si>
    <t>The following assumptions have be taken on the evolution over time of the subsidies: constant between 2020 and 2023, subsidies that end in 2024 are removed and then values are interpolated linearly to reach 0 in 2030. No subsidies after 2030.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</si>
</sst>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%"/>
    <numFmt numFmtId="166" formatCode="_-* #,##0\ &quot;€&quot;_-;\-* #,##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1B1B1B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left"/>
    </xf>
    <xf numFmtId="0" fontId="5" fillId="2" borderId="0" xfId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3" fillId="0" borderId="0" xfId="0" applyFont="1" applyAlignment="1">
      <alignment wrapText="1"/>
    </xf>
    <xf numFmtId="0" fontId="4" fillId="0" borderId="0" xfId="0" applyFont="1"/>
    <xf numFmtId="0" fontId="4" fillId="5" borderId="0" xfId="0" applyFont="1" applyFill="1"/>
    <xf numFmtId="0" fontId="5" fillId="5" borderId="0" xfId="1" applyFill="1"/>
    <xf numFmtId="1" fontId="4" fillId="0" borderId="0" xfId="0" applyNumberFormat="1" applyFont="1"/>
    <xf numFmtId="0" fontId="5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2" borderId="0" xfId="0" applyFont="1" applyFill="1"/>
    <xf numFmtId="0" fontId="10" fillId="0" borderId="0" xfId="0" applyFont="1"/>
    <xf numFmtId="0" fontId="0" fillId="10" borderId="0" xfId="0" applyFill="1"/>
    <xf numFmtId="0" fontId="0" fillId="10" borderId="4" xfId="0" applyFill="1" applyBorder="1"/>
    <xf numFmtId="0" fontId="8" fillId="6" borderId="5" xfId="0" applyFont="1" applyFill="1" applyBorder="1"/>
    <xf numFmtId="0" fontId="8" fillId="0" borderId="5" xfId="0" applyFont="1" applyBorder="1"/>
    <xf numFmtId="0" fontId="8" fillId="6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6" borderId="2" xfId="0" applyFont="1" applyFill="1" applyBorder="1"/>
    <xf numFmtId="0" fontId="1" fillId="6" borderId="3" xfId="0" applyFont="1" applyFill="1" applyBorder="1"/>
    <xf numFmtId="0" fontId="8" fillId="3" borderId="1" xfId="0" applyFont="1" applyFill="1" applyBorder="1"/>
    <xf numFmtId="0" fontId="11" fillId="0" borderId="0" xfId="0" applyFont="1"/>
    <xf numFmtId="0" fontId="15" fillId="0" borderId="0" xfId="0" applyFont="1"/>
    <xf numFmtId="0" fontId="0" fillId="0" borderId="9" xfId="0" applyBorder="1"/>
    <xf numFmtId="0" fontId="11" fillId="0" borderId="10" xfId="0" applyFont="1" applyBorder="1"/>
    <xf numFmtId="165" fontId="0" fillId="0" borderId="10" xfId="2" applyNumberFormat="1" applyFont="1" applyBorder="1"/>
    <xf numFmtId="0" fontId="0" fillId="0" borderId="11" xfId="0" applyBorder="1"/>
    <xf numFmtId="165" fontId="0" fillId="0" borderId="12" xfId="2" applyNumberFormat="1" applyFont="1" applyBorder="1"/>
    <xf numFmtId="0" fontId="11" fillId="0" borderId="9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2" xfId="0" applyBorder="1"/>
    <xf numFmtId="0" fontId="16" fillId="3" borderId="15" xfId="0" applyFont="1" applyFill="1" applyBorder="1"/>
    <xf numFmtId="166" fontId="16" fillId="3" borderId="0" xfId="3" applyNumberFormat="1" applyFont="1" applyFill="1" applyBorder="1"/>
    <xf numFmtId="166" fontId="16" fillId="3" borderId="16" xfId="3" applyNumberFormat="1" applyFont="1" applyFill="1" applyBorder="1"/>
    <xf numFmtId="166" fontId="1" fillId="3" borderId="5" xfId="3" applyNumberFormat="1" applyFont="1" applyFill="1" applyBorder="1"/>
    <xf numFmtId="166" fontId="1" fillId="3" borderId="6" xfId="3" applyNumberFormat="1" applyFont="1" applyFill="1" applyBorder="1"/>
    <xf numFmtId="0" fontId="1" fillId="11" borderId="7" xfId="0" applyFont="1" applyFill="1" applyBorder="1" applyAlignment="1">
      <alignment vertical="center" wrapText="1"/>
    </xf>
    <xf numFmtId="0" fontId="1" fillId="11" borderId="8" xfId="0" applyFont="1" applyFill="1" applyBorder="1" applyAlignment="1">
      <alignment vertical="center" wrapText="1"/>
    </xf>
    <xf numFmtId="0" fontId="0" fillId="9" borderId="9" xfId="0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0" borderId="9" xfId="1" applyBorder="1"/>
    <xf numFmtId="2" fontId="4" fillId="0" borderId="0" xfId="0" applyNumberFormat="1" applyFont="1"/>
    <xf numFmtId="0" fontId="14" fillId="4" borderId="7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7" fillId="8" borderId="0" xfId="0" applyFont="1" applyFill="1" applyAlignment="1">
      <alignment horizontal="center"/>
    </xf>
    <xf numFmtId="0" fontId="12" fillId="4" borderId="7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5" fillId="6" borderId="9" xfId="1" applyFill="1" applyBorder="1" applyAlignment="1">
      <alignment horizontal="center"/>
    </xf>
    <xf numFmtId="0" fontId="5" fillId="6" borderId="0" xfId="1" applyFill="1" applyBorder="1" applyAlignment="1">
      <alignment horizontal="center"/>
    </xf>
    <xf numFmtId="0" fontId="5" fillId="6" borderId="10" xfId="1" applyFill="1" applyBorder="1" applyAlignment="1">
      <alignment horizontal="center"/>
    </xf>
    <xf numFmtId="0" fontId="1" fillId="11" borderId="7" xfId="0" applyFont="1" applyFill="1" applyBorder="1" applyAlignment="1">
      <alignment horizontal="center" wrapText="1"/>
    </xf>
    <xf numFmtId="0" fontId="1" fillId="11" borderId="8" xfId="0" applyFont="1" applyFill="1" applyBorder="1" applyAlignment="1">
      <alignment horizont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12" borderId="0" xfId="0" applyFill="1"/>
    <xf numFmtId="0" fontId="1" fillId="12" borderId="0" xfId="0" applyFont="1" applyFill="1"/>
    <xf numFmtId="0" fontId="0" fillId="0" borderId="0" xfId="0" applyFill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1617051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A6B7F92-50D0-4937-8298-13441FD7D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9492"/>
          <a:ext cx="2325662" cy="8762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591146</xdr:colOff>
      <xdr:row>8</xdr:row>
      <xdr:rowOff>132080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AF49D018-E47D-4501-AB0A-D2476417D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0853" y="288925"/>
          <a:ext cx="3275242" cy="1329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ea.auto/files/Electric_commercial_vehicles_Tax_benefits-and_purchase_incentives_2023.pdf" TargetMode="External"/><Relationship Id="rId2" Type="http://schemas.openxmlformats.org/officeDocument/2006/relationships/hyperlink" Target="https://www.ecb.europa.eu/stats/policy_and_exchange_rates/euro_reference_exchange_rates/html/eurofxref-graph-usd.fr.html" TargetMode="External"/><Relationship Id="rId1" Type="http://schemas.openxmlformats.org/officeDocument/2006/relationships/hyperlink" Target="https://www.acea.auto/files/Electric_cars-Tax_benefits__purchase_incentives_2023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cea.auto/files/Electric_cars-Tax_benefits__purchase_incentives_2023.pdf" TargetMode="External"/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acea.auto/files/Electric_cars-Tax_benefits__purchase_incentives_2023.pdf" TargetMode="External"/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cea.auto/files/Electric_commercial_vehicles_Tax_benefits-and_purchase_incentives_202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BBF0-288A-498E-AFF2-8DF273ABA94D}">
  <dimension ref="B10:D23"/>
  <sheetViews>
    <sheetView zoomScale="79" workbookViewId="0">
      <selection activeCell="B21" sqref="B21"/>
    </sheetView>
  </sheetViews>
  <sheetFormatPr defaultColWidth="10.81640625" defaultRowHeight="14.5" x14ac:dyDescent="0.35"/>
  <cols>
    <col min="1" max="2" width="10.81640625" style="1"/>
    <col min="3" max="3" width="43.1796875" style="1" customWidth="1"/>
    <col min="4" max="16384" width="10.81640625" style="1"/>
  </cols>
  <sheetData>
    <row r="10" spans="2:4" x14ac:dyDescent="0.35">
      <c r="B10" s="4" t="s">
        <v>0</v>
      </c>
      <c r="C10" s="3"/>
    </row>
    <row r="11" spans="2:4" x14ac:dyDescent="0.35">
      <c r="B11" s="3"/>
      <c r="C11" s="3"/>
    </row>
    <row r="12" spans="2:4" x14ac:dyDescent="0.35">
      <c r="B12" s="3" t="s">
        <v>1</v>
      </c>
      <c r="C12" s="2" t="s">
        <v>103</v>
      </c>
      <c r="D12" s="5" t="s">
        <v>102</v>
      </c>
    </row>
    <row r="13" spans="2:4" x14ac:dyDescent="0.35">
      <c r="B13" s="3"/>
      <c r="C13" s="2" t="s">
        <v>105</v>
      </c>
      <c r="D13" s="5" t="s">
        <v>104</v>
      </c>
    </row>
    <row r="14" spans="2:4" x14ac:dyDescent="0.35">
      <c r="B14" s="3"/>
      <c r="C14" s="3"/>
    </row>
    <row r="15" spans="2:4" x14ac:dyDescent="0.35">
      <c r="B15" s="2" t="s">
        <v>2</v>
      </c>
      <c r="C15" s="3"/>
    </row>
    <row r="16" spans="2:4" x14ac:dyDescent="0.35">
      <c r="B16" s="21" t="s">
        <v>121</v>
      </c>
      <c r="C16" s="3"/>
    </row>
    <row r="17" spans="2:3" x14ac:dyDescent="0.35">
      <c r="B17" s="2"/>
      <c r="C17" s="3"/>
    </row>
    <row r="18" spans="2:3" x14ac:dyDescent="0.35">
      <c r="B18" s="2"/>
      <c r="C18" s="3"/>
    </row>
    <row r="19" spans="2:3" x14ac:dyDescent="0.35">
      <c r="B19" s="11" t="s">
        <v>98</v>
      </c>
      <c r="C19" s="11"/>
    </row>
    <row r="20" spans="2:3" x14ac:dyDescent="0.35">
      <c r="B20" s="22">
        <f>1/0.923</f>
        <v>1.0834236186348862</v>
      </c>
      <c r="C20" s="12" t="s">
        <v>97</v>
      </c>
    </row>
    <row r="21" spans="2:3" x14ac:dyDescent="0.35">
      <c r="B21" s="11" t="s">
        <v>99</v>
      </c>
      <c r="C21" s="11"/>
    </row>
    <row r="22" spans="2:3" x14ac:dyDescent="0.35">
      <c r="B22" s="10">
        <v>0.78500000000000003</v>
      </c>
      <c r="C22" s="11"/>
    </row>
    <row r="23" spans="2:3" x14ac:dyDescent="0.35">
      <c r="B23" s="11" t="s">
        <v>61</v>
      </c>
      <c r="C23" s="11"/>
    </row>
  </sheetData>
  <hyperlinks>
    <hyperlink ref="D12" r:id="rId1" display="ACEA" xr:uid="{8A8C442A-98EA-4F9C-B97E-B5E43B7D90B5}"/>
    <hyperlink ref="C20" r:id="rId2" xr:uid="{1F9F33C3-A2E7-40D2-B32B-4A3ABA1A65E2}"/>
    <hyperlink ref="D13" r:id="rId3" display="ACEA (European Automobile Manufacturers' Association): TAX BENEFITS AND PURCHASE INCENTIVES for Electric passenger cars | 27 EU member states (2023)" xr:uid="{9931ABAD-3192-4854-8A3E-0C376CAD10F3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44DE-3D22-4AFF-8994-761EB9CC3B54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9CA4-674F-43C6-AA96-D277E952AE76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09DA-552E-4252-9D79-9124F3EB2A3C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909C4-9305-46A5-B58A-E42DF050A690}">
  <sheetPr>
    <tabColor rgb="FFFF0000"/>
  </sheetPr>
  <dimension ref="A1"/>
  <sheetViews>
    <sheetView workbookViewId="0">
      <selection activeCell="N30" sqref="N30"/>
    </sheetView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5619-CF2C-4190-9058-958DA0F6ACF8}">
  <sheetPr>
    <tabColor theme="4"/>
  </sheetPr>
  <dimension ref="A1:AF9"/>
  <sheetViews>
    <sheetView workbookViewId="0">
      <selection activeCell="E2" sqref="E2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f>Freight!$B$34*About!$B$20*About!$B$22</f>
        <v>3303.0697952899586</v>
      </c>
      <c r="C2" s="13">
        <f>Freight!$B$34*About!$B$20*About!$B$22</f>
        <v>3303.0697952899586</v>
      </c>
      <c r="D2" s="13">
        <f>Freight!$B$34*About!$B$20*About!$B$22</f>
        <v>3303.0697952899586</v>
      </c>
      <c r="E2" s="13">
        <f>($K2-$D2)/($K$1-$D$1)*(E$1-$D$1)+$D2</f>
        <v>2831.2026816771072</v>
      </c>
      <c r="F2" s="13">
        <f t="shared" ref="F2:J8" si="0">($K2-$D2)/($K$1-$D$1)*(F$1-$D$1)+$D2</f>
        <v>2359.3355680642562</v>
      </c>
      <c r="G2" s="13">
        <f t="shared" si="0"/>
        <v>1887.4684544514048</v>
      </c>
      <c r="H2" s="13">
        <f t="shared" si="0"/>
        <v>1415.6013408385536</v>
      </c>
      <c r="I2" s="13">
        <f t="shared" si="0"/>
        <v>943.7342272257024</v>
      </c>
      <c r="J2" s="13">
        <f t="shared" si="0"/>
        <v>471.86711361285097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f t="shared" ref="E3:E8" si="1">($K3-$D3)/($K$1-$D$1)*(E$1-$D$1)+$D3</f>
        <v>0</v>
      </c>
      <c r="F3" s="13">
        <f t="shared" si="0"/>
        <v>0</v>
      </c>
      <c r="G3" s="13">
        <f t="shared" si="0"/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f t="shared" si="1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f t="shared" si="1"/>
        <v>0</v>
      </c>
      <c r="F5" s="13">
        <f t="shared" si="0"/>
        <v>0</v>
      </c>
      <c r="G5" s="13">
        <f t="shared" si="0"/>
        <v>0</v>
      </c>
      <c r="H5" s="13">
        <f t="shared" si="0"/>
        <v>0</v>
      </c>
      <c r="I5" s="13">
        <f t="shared" si="0"/>
        <v>0</v>
      </c>
      <c r="J5" s="13">
        <f t="shared" si="0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f>Freight!$E$34*About!$B$20*About!$B$22</f>
        <v>223.81251069168042</v>
      </c>
      <c r="C6" s="13">
        <f>Freight!$E$34*About!$B$20*About!$B$22</f>
        <v>223.81251069168042</v>
      </c>
      <c r="D6" s="13">
        <f>Freight!$E$34*About!$B$20*About!$B$22</f>
        <v>223.81251069168042</v>
      </c>
      <c r="E6" s="13">
        <f t="shared" si="1"/>
        <v>191.83929487858322</v>
      </c>
      <c r="F6" s="13">
        <f t="shared" si="0"/>
        <v>159.86607906548602</v>
      </c>
      <c r="G6" s="13">
        <f t="shared" si="0"/>
        <v>127.89286325238881</v>
      </c>
      <c r="H6" s="13">
        <f t="shared" si="0"/>
        <v>95.919647439291609</v>
      </c>
      <c r="I6" s="13">
        <f t="shared" si="0"/>
        <v>63.946431626194396</v>
      </c>
      <c r="J6" s="13">
        <f t="shared" si="0"/>
        <v>31.973215813097198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f t="shared" si="1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f>Freight!$H$34*About!$B$20*About!$B$22</f>
        <v>2052.7731775266989</v>
      </c>
      <c r="C8" s="13">
        <f>Freight!$H$34*About!$B$20*About!$B$22</f>
        <v>2052.7731775266989</v>
      </c>
      <c r="D8" s="13">
        <f>Freight!$H$34*About!$B$20*About!$B$22</f>
        <v>2052.7731775266989</v>
      </c>
      <c r="E8" s="13">
        <f t="shared" si="1"/>
        <v>1759.5198664514562</v>
      </c>
      <c r="F8" s="13">
        <f t="shared" si="0"/>
        <v>1466.2665553762135</v>
      </c>
      <c r="G8" s="13">
        <f t="shared" si="0"/>
        <v>1173.0132443009707</v>
      </c>
      <c r="H8" s="13">
        <f t="shared" si="0"/>
        <v>879.75993322572799</v>
      </c>
      <c r="I8" s="13">
        <f t="shared" si="0"/>
        <v>586.50662215048533</v>
      </c>
      <c r="J8" s="13">
        <f t="shared" si="0"/>
        <v>293.25331107524244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ED58-2D53-470A-8782-96D943518192}">
  <sheetPr>
    <tabColor theme="4"/>
  </sheetPr>
  <dimension ref="A1:AE9"/>
  <sheetViews>
    <sheetView tabSelected="1" workbookViewId="0">
      <selection activeCell="E2" sqref="E2"/>
    </sheetView>
  </sheetViews>
  <sheetFormatPr defaultColWidth="10.81640625" defaultRowHeight="14.5" x14ac:dyDescent="0.35"/>
  <sheetData>
    <row r="1" spans="1:31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</row>
    <row r="2" spans="1:31" x14ac:dyDescent="0.35">
      <c r="A2" s="10" t="s">
        <v>54</v>
      </c>
      <c r="B2" s="13">
        <f>Freight!$D$34*About!$B$20*About!$B$22</f>
        <v>15308.775731310943</v>
      </c>
      <c r="C2" s="13">
        <f>Freight!$D$34*About!$B$20*About!$B$22</f>
        <v>15308.775731310943</v>
      </c>
      <c r="D2" s="13">
        <f>Freight!$D$34*About!$B$20*About!$B$22</f>
        <v>15308.775731310943</v>
      </c>
      <c r="E2" s="13">
        <f>'Freight NEW'!$D$34*About!$B$20*About!$B$22</f>
        <v>11226.435536294692</v>
      </c>
      <c r="F2" s="13">
        <f>($K2-$E2)/($K$1-$E$1)*(F$1-$E$1)+$E2</f>
        <v>9355.3629469122425</v>
      </c>
      <c r="G2" s="13">
        <f t="shared" ref="G2:J2" si="0">($K2-$E2)/($K$1-$E$1)*(G$1-$E$1)+$E2</f>
        <v>7484.2903575297951</v>
      </c>
      <c r="H2" s="13">
        <f t="shared" si="0"/>
        <v>5613.2177681473459</v>
      </c>
      <c r="I2" s="13">
        <f t="shared" si="0"/>
        <v>3742.1451787648975</v>
      </c>
      <c r="J2" s="13">
        <f t="shared" si="0"/>
        <v>1871.0725893824492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</row>
    <row r="3" spans="1:31" x14ac:dyDescent="0.35">
      <c r="A3" s="10" t="s">
        <v>55</v>
      </c>
      <c r="B3" s="13">
        <v>0</v>
      </c>
      <c r="C3" s="13">
        <v>0</v>
      </c>
      <c r="D3" s="13">
        <v>0</v>
      </c>
      <c r="E3" s="13">
        <f t="shared" ref="E3:E8" si="1">($K3-$D3)/($K$1-$D$1)*(E$1-$D$1)+$D3</f>
        <v>0</v>
      </c>
      <c r="F3" s="13">
        <f t="shared" ref="F2:J8" si="2">($K3-$D3)/($K$1-$D$1)*(F$1-$D$1)+$D3</f>
        <v>0</v>
      </c>
      <c r="G3" s="13">
        <f t="shared" si="2"/>
        <v>0</v>
      </c>
      <c r="H3" s="13">
        <f t="shared" si="2"/>
        <v>0</v>
      </c>
      <c r="I3" s="13">
        <f t="shared" si="2"/>
        <v>0</v>
      </c>
      <c r="J3" s="13">
        <f t="shared" si="2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</row>
    <row r="4" spans="1:31" x14ac:dyDescent="0.35">
      <c r="A4" s="10" t="s">
        <v>56</v>
      </c>
      <c r="B4" s="13">
        <v>0</v>
      </c>
      <c r="C4" s="13">
        <v>0</v>
      </c>
      <c r="D4" s="13">
        <v>0</v>
      </c>
      <c r="E4" s="13">
        <f t="shared" si="1"/>
        <v>0</v>
      </c>
      <c r="F4" s="13">
        <f t="shared" si="2"/>
        <v>0</v>
      </c>
      <c r="G4" s="13">
        <f t="shared" si="2"/>
        <v>0</v>
      </c>
      <c r="H4" s="13">
        <f t="shared" si="2"/>
        <v>0</v>
      </c>
      <c r="I4" s="13">
        <f t="shared" si="2"/>
        <v>0</v>
      </c>
      <c r="J4" s="13">
        <f t="shared" si="2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</row>
    <row r="5" spans="1:31" x14ac:dyDescent="0.35">
      <c r="A5" s="10" t="s">
        <v>57</v>
      </c>
      <c r="B5" s="13">
        <v>0</v>
      </c>
      <c r="C5" s="13">
        <v>0</v>
      </c>
      <c r="D5" s="13">
        <v>0</v>
      </c>
      <c r="E5" s="13">
        <f t="shared" si="1"/>
        <v>0</v>
      </c>
      <c r="F5" s="13">
        <f t="shared" si="2"/>
        <v>0</v>
      </c>
      <c r="G5" s="13">
        <f t="shared" si="2"/>
        <v>0</v>
      </c>
      <c r="H5" s="13">
        <f t="shared" si="2"/>
        <v>0</v>
      </c>
      <c r="I5" s="13">
        <f t="shared" si="2"/>
        <v>0</v>
      </c>
      <c r="J5" s="13">
        <f t="shared" si="2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</row>
    <row r="6" spans="1:31" x14ac:dyDescent="0.35">
      <c r="A6" s="10" t="s">
        <v>58</v>
      </c>
      <c r="B6" s="13">
        <v>0</v>
      </c>
      <c r="C6" s="13">
        <v>0</v>
      </c>
      <c r="D6" s="13">
        <v>0</v>
      </c>
      <c r="E6" s="13">
        <f t="shared" si="1"/>
        <v>0</v>
      </c>
      <c r="F6" s="13">
        <f t="shared" si="2"/>
        <v>0</v>
      </c>
      <c r="G6" s="13">
        <f t="shared" si="2"/>
        <v>0</v>
      </c>
      <c r="H6" s="13">
        <f t="shared" si="2"/>
        <v>0</v>
      </c>
      <c r="I6" s="13">
        <f t="shared" si="2"/>
        <v>0</v>
      </c>
      <c r="J6" s="13">
        <f t="shared" si="2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</row>
    <row r="7" spans="1:31" x14ac:dyDescent="0.35">
      <c r="A7" s="10" t="s">
        <v>59</v>
      </c>
      <c r="B7" s="13">
        <v>0</v>
      </c>
      <c r="C7" s="13">
        <v>0</v>
      </c>
      <c r="D7" s="13">
        <v>0</v>
      </c>
      <c r="E7" s="13">
        <f t="shared" si="1"/>
        <v>0</v>
      </c>
      <c r="F7" s="13">
        <f t="shared" si="2"/>
        <v>0</v>
      </c>
      <c r="G7" s="13">
        <f t="shared" si="2"/>
        <v>0</v>
      </c>
      <c r="H7" s="13">
        <f t="shared" si="2"/>
        <v>0</v>
      </c>
      <c r="I7" s="13">
        <f t="shared" si="2"/>
        <v>0</v>
      </c>
      <c r="J7" s="13">
        <f t="shared" si="2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</row>
    <row r="8" spans="1:31" x14ac:dyDescent="0.35">
      <c r="A8" s="10" t="s">
        <v>60</v>
      </c>
      <c r="B8" s="13">
        <f>Freight!$J$34*About!$B$20*About!$B$22</f>
        <v>3756.3199711087036</v>
      </c>
      <c r="C8" s="13">
        <f>Freight!$J$34*About!$B$20*About!$B$22</f>
        <v>3756.3199711087036</v>
      </c>
      <c r="D8" s="13">
        <f>Freight!$J$34*About!$B$20*About!$B$22</f>
        <v>3756.3199711087036</v>
      </c>
      <c r="E8" s="13">
        <f t="shared" si="1"/>
        <v>3219.7028323788891</v>
      </c>
      <c r="F8" s="13">
        <f t="shared" si="2"/>
        <v>2683.0856936490741</v>
      </c>
      <c r="G8" s="13">
        <f t="shared" si="2"/>
        <v>2146.4685549192591</v>
      </c>
      <c r="H8" s="13">
        <f t="shared" si="2"/>
        <v>1609.8514161894445</v>
      </c>
      <c r="I8" s="13">
        <f t="shared" si="2"/>
        <v>1073.23427745963</v>
      </c>
      <c r="J8" s="13">
        <f t="shared" si="2"/>
        <v>536.617138729815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</row>
    <row r="9" spans="1:31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24F9-66D1-427A-99DC-AC3F214355EE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A7E8-D3D1-4CDE-9E02-8BAB1DDD237D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1676-455E-4266-96EC-E2E5AEFA4AA7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1F9DD-7A30-491E-B607-A2E29DE1DF09}">
  <sheetPr>
    <tabColor theme="4"/>
  </sheetPr>
  <dimension ref="A1:AF9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7C7B-5DF9-4CE4-982D-0C5EAF21C6FF}">
  <dimension ref="A1:V74"/>
  <sheetViews>
    <sheetView topLeftCell="A29" zoomScale="66" zoomScaleNormal="100" workbookViewId="0">
      <selection activeCell="B59" sqref="B59"/>
    </sheetView>
  </sheetViews>
  <sheetFormatPr defaultColWidth="10.81640625" defaultRowHeight="14.5" x14ac:dyDescent="0.35"/>
  <cols>
    <col min="2" max="2" width="15.453125" customWidth="1"/>
    <col min="3" max="3" width="79" customWidth="1"/>
    <col min="4" max="4" width="18.453125" bestFit="1" customWidth="1"/>
    <col min="5" max="5" width="22.54296875" bestFit="1" customWidth="1"/>
    <col min="7" max="7" width="18" bestFit="1" customWidth="1"/>
    <col min="8" max="8" width="26.453125" customWidth="1"/>
    <col min="9" max="9" width="21.1796875" customWidth="1"/>
    <col min="10" max="10" width="18.54296875" bestFit="1" customWidth="1"/>
  </cols>
  <sheetData>
    <row r="1" spans="1:22" ht="29.15" customHeight="1" x14ac:dyDescent="0.35">
      <c r="A1" s="68" t="s">
        <v>118</v>
      </c>
      <c r="B1" s="69"/>
      <c r="C1" s="69"/>
      <c r="D1" s="69"/>
      <c r="E1" s="69"/>
      <c r="F1" s="69"/>
      <c r="G1" s="70"/>
      <c r="H1" s="74" t="s">
        <v>114</v>
      </c>
      <c r="I1" s="75"/>
      <c r="J1" s="33"/>
    </row>
    <row r="2" spans="1:22" ht="15.5" x14ac:dyDescent="0.35">
      <c r="A2" s="71" t="s">
        <v>106</v>
      </c>
      <c r="B2" s="72"/>
      <c r="C2" s="72"/>
      <c r="D2" s="72"/>
      <c r="E2" s="72"/>
      <c r="F2" s="72"/>
      <c r="G2" s="73"/>
      <c r="H2" s="76" t="s">
        <v>113</v>
      </c>
      <c r="I2" s="77"/>
      <c r="J2" s="33"/>
    </row>
    <row r="3" spans="1:22" ht="16" thickBot="1" x14ac:dyDescent="0.4">
      <c r="A3" s="40"/>
      <c r="B3" s="33" t="s">
        <v>4</v>
      </c>
      <c r="C3" s="33" t="s">
        <v>5</v>
      </c>
      <c r="D3" s="33" t="s">
        <v>44</v>
      </c>
      <c r="E3" s="33" t="s">
        <v>45</v>
      </c>
      <c r="F3" s="33" t="s">
        <v>91</v>
      </c>
      <c r="G3" s="36" t="s">
        <v>79</v>
      </c>
      <c r="H3" s="35"/>
      <c r="I3" s="36" t="s">
        <v>115</v>
      </c>
      <c r="J3" s="33"/>
    </row>
    <row r="4" spans="1:22" ht="72.5" x14ac:dyDescent="0.35">
      <c r="A4" s="35" t="s">
        <v>3</v>
      </c>
      <c r="C4" s="41" t="s">
        <v>107</v>
      </c>
      <c r="D4">
        <v>3000</v>
      </c>
      <c r="E4">
        <v>1250</v>
      </c>
      <c r="F4" s="23" t="s">
        <v>46</v>
      </c>
      <c r="G4" s="42" t="s">
        <v>80</v>
      </c>
      <c r="H4" s="35">
        <v>5091827</v>
      </c>
      <c r="I4" s="37">
        <f>H4/SUM($H$4:$H$30)</f>
        <v>2.0669431425593385E-2</v>
      </c>
      <c r="K4" s="15">
        <v>0</v>
      </c>
      <c r="L4" s="16" t="s">
        <v>95</v>
      </c>
      <c r="M4" s="16"/>
      <c r="N4" s="16"/>
      <c r="O4" s="16"/>
      <c r="P4" s="16"/>
      <c r="Q4" s="16"/>
      <c r="R4" s="16"/>
      <c r="S4" s="16"/>
      <c r="T4" s="16"/>
      <c r="U4" s="16"/>
      <c r="V4" s="17"/>
    </row>
    <row r="5" spans="1:22" ht="15" thickBot="1" x14ac:dyDescent="0.4">
      <c r="A5" s="35" t="s">
        <v>6</v>
      </c>
      <c r="C5" s="41" t="s">
        <v>8</v>
      </c>
      <c r="D5">
        <v>0</v>
      </c>
      <c r="E5">
        <v>0</v>
      </c>
      <c r="F5">
        <v>0</v>
      </c>
      <c r="G5" s="42"/>
      <c r="H5" s="35">
        <v>5827195</v>
      </c>
      <c r="I5" s="37">
        <f t="shared" ref="I5:I30" si="0">H5/SUM($H$4:$H$30)</f>
        <v>2.3654536467177821E-2</v>
      </c>
      <c r="K5" s="24" t="s">
        <v>46</v>
      </c>
      <c r="L5" s="19" t="s">
        <v>96</v>
      </c>
      <c r="M5" s="19"/>
      <c r="N5" s="19"/>
      <c r="O5" s="19"/>
      <c r="P5" s="19"/>
      <c r="Q5" s="19"/>
      <c r="R5" s="19"/>
      <c r="S5" s="19"/>
      <c r="T5" s="19"/>
      <c r="U5" s="19"/>
      <c r="V5" s="20"/>
    </row>
    <row r="6" spans="1:22" x14ac:dyDescent="0.35">
      <c r="A6" s="35" t="s">
        <v>7</v>
      </c>
      <c r="C6" s="41" t="s">
        <v>8</v>
      </c>
      <c r="D6">
        <v>0</v>
      </c>
      <c r="E6">
        <v>0</v>
      </c>
      <c r="F6">
        <v>0</v>
      </c>
      <c r="G6" s="42"/>
      <c r="H6" s="35"/>
      <c r="I6" s="37">
        <f t="shared" si="0"/>
        <v>0</v>
      </c>
    </row>
    <row r="7" spans="1:22" ht="43.5" x14ac:dyDescent="0.35">
      <c r="A7" s="35" t="s">
        <v>9</v>
      </c>
      <c r="C7" s="41" t="s">
        <v>109</v>
      </c>
      <c r="D7">
        <v>9291</v>
      </c>
      <c r="E7">
        <v>5309</v>
      </c>
      <c r="F7" s="23" t="s">
        <v>46</v>
      </c>
      <c r="G7" s="42"/>
      <c r="H7" s="35">
        <v>1733727</v>
      </c>
      <c r="I7" s="37">
        <f t="shared" si="0"/>
        <v>7.0377786474677441E-3</v>
      </c>
    </row>
    <row r="8" spans="1:22" ht="43.5" x14ac:dyDescent="0.35">
      <c r="A8" s="35" t="s">
        <v>10</v>
      </c>
      <c r="C8" s="41" t="s">
        <v>108</v>
      </c>
      <c r="D8">
        <v>19000</v>
      </c>
      <c r="E8">
        <v>0</v>
      </c>
      <c r="F8" s="23" t="s">
        <v>46</v>
      </c>
      <c r="G8" s="42"/>
      <c r="H8" s="35">
        <v>578158</v>
      </c>
      <c r="I8" s="37">
        <f t="shared" si="0"/>
        <v>2.3469369902312512E-3</v>
      </c>
    </row>
    <row r="9" spans="1:22" x14ac:dyDescent="0.35">
      <c r="A9" s="35" t="s">
        <v>11</v>
      </c>
      <c r="C9" s="41" t="s">
        <v>12</v>
      </c>
      <c r="D9" s="23" t="s">
        <v>46</v>
      </c>
      <c r="E9" s="23" t="s">
        <v>46</v>
      </c>
      <c r="F9" s="23" t="s">
        <v>46</v>
      </c>
      <c r="G9" s="42"/>
      <c r="H9" s="35">
        <v>6129874</v>
      </c>
      <c r="I9" s="37">
        <f t="shared" si="0"/>
        <v>2.4883211917947689E-2</v>
      </c>
    </row>
    <row r="10" spans="1:22" x14ac:dyDescent="0.35">
      <c r="A10" s="35" t="s">
        <v>13</v>
      </c>
      <c r="C10" s="41" t="s">
        <v>8</v>
      </c>
      <c r="D10">
        <v>0</v>
      </c>
      <c r="E10">
        <v>0</v>
      </c>
      <c r="F10">
        <v>0</v>
      </c>
      <c r="G10" s="42"/>
      <c r="H10" s="35">
        <v>2720273</v>
      </c>
      <c r="I10" s="37">
        <f t="shared" si="0"/>
        <v>1.1042499329296379E-2</v>
      </c>
    </row>
    <row r="11" spans="1:22" ht="43.5" x14ac:dyDescent="0.35">
      <c r="A11" s="35" t="s">
        <v>14</v>
      </c>
      <c r="C11" s="41" t="s">
        <v>110</v>
      </c>
      <c r="D11">
        <v>5000</v>
      </c>
      <c r="E11">
        <v>0</v>
      </c>
      <c r="F11">
        <f>D11</f>
        <v>5000</v>
      </c>
      <c r="G11" s="42"/>
      <c r="H11" s="35">
        <v>808689</v>
      </c>
      <c r="I11" s="37">
        <f t="shared" si="0"/>
        <v>3.2827395412553663E-3</v>
      </c>
    </row>
    <row r="12" spans="1:22" x14ac:dyDescent="0.35">
      <c r="A12" s="35" t="s">
        <v>15</v>
      </c>
      <c r="C12" s="41" t="s">
        <v>8</v>
      </c>
      <c r="D12">
        <v>0</v>
      </c>
      <c r="E12">
        <v>0</v>
      </c>
      <c r="F12">
        <v>0</v>
      </c>
      <c r="G12" s="42"/>
      <c r="H12" s="35">
        <v>2748448</v>
      </c>
      <c r="I12" s="37">
        <f t="shared" si="0"/>
        <v>1.1156871092205074E-2</v>
      </c>
    </row>
    <row r="13" spans="1:22" ht="72.5" x14ac:dyDescent="0.35">
      <c r="A13" s="35" t="s">
        <v>16</v>
      </c>
      <c r="C13" s="41" t="s">
        <v>111</v>
      </c>
      <c r="D13">
        <v>5000</v>
      </c>
      <c r="E13">
        <v>0</v>
      </c>
      <c r="F13">
        <f>D13</f>
        <v>5000</v>
      </c>
      <c r="G13" s="42"/>
      <c r="H13" s="35">
        <v>38346266</v>
      </c>
      <c r="I13" s="37">
        <f t="shared" si="0"/>
        <v>0.15566033871821708</v>
      </c>
    </row>
    <row r="14" spans="1:22" ht="58" x14ac:dyDescent="0.35">
      <c r="A14" s="35" t="s">
        <v>17</v>
      </c>
      <c r="C14" s="41" t="s">
        <v>112</v>
      </c>
      <c r="D14">
        <f>(6750+4500)/2</f>
        <v>5625</v>
      </c>
      <c r="E14">
        <v>0</v>
      </c>
      <c r="F14">
        <f>D14</f>
        <v>5625</v>
      </c>
      <c r="G14" s="42" t="s">
        <v>81</v>
      </c>
      <c r="H14" s="35">
        <v>48248584</v>
      </c>
      <c r="I14" s="37">
        <f t="shared" si="0"/>
        <v>0.19585716450499638</v>
      </c>
    </row>
    <row r="15" spans="1:22" ht="174" x14ac:dyDescent="0.35">
      <c r="A15" s="35" t="s">
        <v>18</v>
      </c>
      <c r="C15" s="41" t="s">
        <v>19</v>
      </c>
      <c r="D15" s="23" t="s">
        <v>46</v>
      </c>
      <c r="E15">
        <v>0</v>
      </c>
      <c r="F15" s="23" t="s">
        <v>46</v>
      </c>
      <c r="G15" s="42"/>
      <c r="H15" s="35">
        <v>5315875</v>
      </c>
      <c r="I15" s="37">
        <f t="shared" si="0"/>
        <v>2.157891730797732E-2</v>
      </c>
    </row>
    <row r="16" spans="1:22" ht="29" x14ac:dyDescent="0.35">
      <c r="A16" s="35" t="s">
        <v>20</v>
      </c>
      <c r="C16" s="41" t="s">
        <v>22</v>
      </c>
      <c r="D16">
        <f>(7350+1500)/2</f>
        <v>4425</v>
      </c>
      <c r="E16">
        <v>0</v>
      </c>
      <c r="F16" s="23" t="s">
        <v>46</v>
      </c>
      <c r="G16" s="42" t="s">
        <v>82</v>
      </c>
      <c r="H16" s="35">
        <v>3918923</v>
      </c>
      <c r="I16" s="37">
        <f t="shared" si="0"/>
        <v>1.5908221196572606E-2</v>
      </c>
    </row>
    <row r="17" spans="1:9" ht="29" x14ac:dyDescent="0.35">
      <c r="A17" s="35" t="s">
        <v>21</v>
      </c>
      <c r="C17" s="41" t="s">
        <v>23</v>
      </c>
      <c r="D17">
        <v>5000</v>
      </c>
      <c r="E17">
        <v>5000</v>
      </c>
      <c r="F17" s="23" t="s">
        <v>46</v>
      </c>
      <c r="G17" s="42" t="s">
        <v>83</v>
      </c>
      <c r="H17" s="35">
        <v>2215127</v>
      </c>
      <c r="I17" s="37">
        <f t="shared" si="0"/>
        <v>8.9919425042289131E-3</v>
      </c>
    </row>
    <row r="18" spans="1:9" ht="58" x14ac:dyDescent="0.35">
      <c r="A18" s="35" t="s">
        <v>24</v>
      </c>
      <c r="C18" s="41" t="s">
        <v>116</v>
      </c>
      <c r="D18">
        <f>(3000+2000)/2</f>
        <v>2500</v>
      </c>
      <c r="E18">
        <f>D18</f>
        <v>2500</v>
      </c>
      <c r="F18" s="23" t="s">
        <v>46</v>
      </c>
      <c r="G18" s="42"/>
      <c r="H18" s="35">
        <v>39717874</v>
      </c>
      <c r="I18" s="37">
        <f t="shared" si="0"/>
        <v>0.16122815504402613</v>
      </c>
    </row>
    <row r="19" spans="1:9" x14ac:dyDescent="0.35">
      <c r="A19" s="35" t="s">
        <v>25</v>
      </c>
      <c r="C19" s="41" t="s">
        <v>8</v>
      </c>
      <c r="D19">
        <v>0</v>
      </c>
      <c r="E19">
        <v>0</v>
      </c>
      <c r="F19">
        <v>0</v>
      </c>
      <c r="G19" s="42"/>
      <c r="H19" s="35">
        <v>672962</v>
      </c>
      <c r="I19" s="37">
        <f t="shared" si="0"/>
        <v>2.73177818316101E-3</v>
      </c>
    </row>
    <row r="20" spans="1:9" ht="72.5" x14ac:dyDescent="0.35">
      <c r="A20" s="35" t="s">
        <v>29</v>
      </c>
      <c r="C20" s="41" t="s">
        <v>26</v>
      </c>
      <c r="D20">
        <f>(2500+5000)/2</f>
        <v>3750</v>
      </c>
      <c r="E20">
        <v>0</v>
      </c>
      <c r="F20" s="23" t="s">
        <v>46</v>
      </c>
      <c r="G20" s="42" t="s">
        <v>83</v>
      </c>
      <c r="H20" s="35">
        <v>1285743</v>
      </c>
      <c r="I20" s="37">
        <f t="shared" si="0"/>
        <v>5.2192615282170259E-3</v>
      </c>
    </row>
    <row r="21" spans="1:9" x14ac:dyDescent="0.35">
      <c r="A21" s="35" t="s">
        <v>30</v>
      </c>
      <c r="C21" s="41" t="s">
        <v>27</v>
      </c>
      <c r="D21">
        <f>(8000+3000)/2</f>
        <v>5500</v>
      </c>
      <c r="E21">
        <f>2500</f>
        <v>2500</v>
      </c>
      <c r="F21" s="23" t="s">
        <v>46</v>
      </c>
      <c r="G21" s="42"/>
      <c r="H21" s="35">
        <v>435989</v>
      </c>
      <c r="I21" s="37">
        <f t="shared" si="0"/>
        <v>1.769825396230672E-3</v>
      </c>
    </row>
    <row r="22" spans="1:9" ht="29" x14ac:dyDescent="0.35">
      <c r="A22" s="35" t="s">
        <v>31</v>
      </c>
      <c r="C22" s="41" t="s">
        <v>28</v>
      </c>
      <c r="D22">
        <v>11000</v>
      </c>
      <c r="E22">
        <v>0</v>
      </c>
      <c r="F22" s="23" t="s">
        <v>46</v>
      </c>
      <c r="G22" s="42"/>
      <c r="H22" s="35"/>
      <c r="I22" s="37">
        <f t="shared" si="0"/>
        <v>0</v>
      </c>
    </row>
    <row r="23" spans="1:9" ht="58" x14ac:dyDescent="0.35">
      <c r="A23" s="35" t="s">
        <v>34</v>
      </c>
      <c r="C23" s="41" t="s">
        <v>32</v>
      </c>
      <c r="D23" s="23" t="s">
        <v>46</v>
      </c>
      <c r="E23" s="23" t="s">
        <v>46</v>
      </c>
      <c r="F23" s="23" t="s">
        <v>46</v>
      </c>
      <c r="G23" s="42"/>
      <c r="H23" s="35">
        <v>9049959</v>
      </c>
      <c r="I23" s="37">
        <f t="shared" si="0"/>
        <v>3.6736815087184162E-2</v>
      </c>
    </row>
    <row r="24" spans="1:9" ht="29" x14ac:dyDescent="0.35">
      <c r="A24" s="35" t="s">
        <v>35</v>
      </c>
      <c r="C24" s="41" t="s">
        <v>47</v>
      </c>
      <c r="D24">
        <f>(4350+6082)/2</f>
        <v>5216</v>
      </c>
      <c r="E24">
        <v>0</v>
      </c>
      <c r="F24">
        <f>D24</f>
        <v>5216</v>
      </c>
      <c r="G24" s="42"/>
      <c r="H24" s="35">
        <v>25113862</v>
      </c>
      <c r="I24" s="37">
        <f t="shared" si="0"/>
        <v>0.10194557836328993</v>
      </c>
    </row>
    <row r="25" spans="1:9" ht="29" x14ac:dyDescent="0.35">
      <c r="A25" s="35" t="s">
        <v>36</v>
      </c>
      <c r="C25" s="41" t="s">
        <v>33</v>
      </c>
      <c r="D25">
        <v>3000</v>
      </c>
      <c r="E25">
        <v>0</v>
      </c>
      <c r="F25" s="23" t="s">
        <v>46</v>
      </c>
      <c r="G25" s="42"/>
      <c r="H25" s="35">
        <v>5300000</v>
      </c>
      <c r="I25" s="37">
        <f t="shared" si="0"/>
        <v>2.1514475365255917E-2</v>
      </c>
    </row>
    <row r="26" spans="1:9" ht="29" x14ac:dyDescent="0.35">
      <c r="A26" s="35" t="s">
        <v>40</v>
      </c>
      <c r="C26" s="41" t="s">
        <v>37</v>
      </c>
      <c r="D26">
        <f>11500/2</f>
        <v>5750</v>
      </c>
      <c r="E26">
        <f>6400/2</f>
        <v>3200</v>
      </c>
      <c r="F26" s="23" t="s">
        <v>46</v>
      </c>
      <c r="G26" s="42"/>
      <c r="H26" s="35">
        <v>7274728</v>
      </c>
      <c r="I26" s="37">
        <f t="shared" si="0"/>
        <v>2.9530557800931594E-2</v>
      </c>
    </row>
    <row r="27" spans="1:9" x14ac:dyDescent="0.35">
      <c r="A27" s="35" t="s">
        <v>71</v>
      </c>
      <c r="C27" s="41" t="s">
        <v>38</v>
      </c>
      <c r="D27">
        <f>4500/2</f>
        <v>2250</v>
      </c>
      <c r="E27">
        <v>0</v>
      </c>
      <c r="F27" s="23" t="s">
        <v>46</v>
      </c>
      <c r="G27" s="42"/>
      <c r="H27" s="35">
        <v>1253984</v>
      </c>
      <c r="I27" s="37">
        <f t="shared" si="0"/>
        <v>5.0903411087594485E-3</v>
      </c>
    </row>
    <row r="28" spans="1:9" ht="43.5" x14ac:dyDescent="0.35">
      <c r="A28" s="35" t="s">
        <v>41</v>
      </c>
      <c r="C28" s="41" t="s">
        <v>39</v>
      </c>
      <c r="D28">
        <f>(4500+7000)/2</f>
        <v>5750</v>
      </c>
      <c r="E28">
        <f>(2500+5000)/2</f>
        <v>3750</v>
      </c>
      <c r="F28">
        <f>D28</f>
        <v>5750</v>
      </c>
      <c r="G28" s="42" t="s">
        <v>84</v>
      </c>
      <c r="H28" s="35">
        <v>25169158</v>
      </c>
      <c r="I28" s="37">
        <f t="shared" si="0"/>
        <v>0.10217004335004412</v>
      </c>
    </row>
    <row r="29" spans="1:9" x14ac:dyDescent="0.35">
      <c r="A29" s="35" t="s">
        <v>42</v>
      </c>
      <c r="C29" s="41" t="s">
        <v>8</v>
      </c>
      <c r="D29">
        <v>0</v>
      </c>
      <c r="E29">
        <v>0</v>
      </c>
      <c r="F29">
        <v>0</v>
      </c>
      <c r="G29" s="42"/>
      <c r="H29" s="35">
        <v>2444478</v>
      </c>
      <c r="I29" s="37">
        <f t="shared" si="0"/>
        <v>9.922955039983028E-3</v>
      </c>
    </row>
    <row r="30" spans="1:9" x14ac:dyDescent="0.35">
      <c r="A30" s="38" t="s">
        <v>43</v>
      </c>
      <c r="B30" s="43"/>
      <c r="C30" s="44" t="s">
        <v>8</v>
      </c>
      <c r="D30" s="43">
        <v>0</v>
      </c>
      <c r="E30" s="43">
        <v>0</v>
      </c>
      <c r="F30" s="43">
        <v>0</v>
      </c>
      <c r="G30" s="45"/>
      <c r="H30" s="38">
        <v>4944067</v>
      </c>
      <c r="I30" s="39">
        <f t="shared" si="0"/>
        <v>2.0069624089749948E-2</v>
      </c>
    </row>
    <row r="31" spans="1:9" ht="15" thickBot="1" x14ac:dyDescent="0.4"/>
    <row r="32" spans="1:9" x14ac:dyDescent="0.35">
      <c r="C32" s="32" t="s">
        <v>101</v>
      </c>
      <c r="D32" s="6" t="s">
        <v>51</v>
      </c>
      <c r="E32" s="6" t="s">
        <v>52</v>
      </c>
      <c r="F32" s="7" t="s">
        <v>100</v>
      </c>
    </row>
    <row r="33" spans="1:10" x14ac:dyDescent="0.35">
      <c r="C33" s="46" t="s">
        <v>117</v>
      </c>
      <c r="D33" s="47">
        <f>AVERAGE(D4:D30)</f>
        <v>4210.708333333333</v>
      </c>
      <c r="E33" s="47">
        <f>AVERAGE(E4:E30)</f>
        <v>940.36</v>
      </c>
      <c r="F33" s="48">
        <f>AVERAGE(F4:F30)</f>
        <v>2215.9166666666665</v>
      </c>
    </row>
    <row r="34" spans="1:10" ht="15" thickBot="1" x14ac:dyDescent="0.4">
      <c r="C34" s="8" t="s">
        <v>119</v>
      </c>
      <c r="D34" s="49">
        <f>SUMPRODUCT(D4:D30,I4:I30)/(1-SUMIFS($I4:$I30,D4:D30, "?"))</f>
        <v>4342.4400001891509</v>
      </c>
      <c r="E34" s="49">
        <f>SUMPRODUCT(E4:E30,I4:I30)/(1-SUMIFS($I4:$I30,E4:E30, "?"))</f>
        <v>1058.5162683072981</v>
      </c>
      <c r="F34" s="50">
        <f>SUMPRODUCT(F4:F30,I4:I30)/(1-SUMIFS($I4:$I30,F4:F30, "?"))</f>
        <v>4730.4558457515423</v>
      </c>
    </row>
    <row r="36" spans="1:10" ht="29" x14ac:dyDescent="0.35">
      <c r="A36" s="59" t="s">
        <v>63</v>
      </c>
      <c r="B36" s="60"/>
      <c r="C36" s="60"/>
      <c r="D36" s="60"/>
      <c r="E36" s="60"/>
      <c r="F36" s="60"/>
      <c r="G36" s="60"/>
      <c r="H36" s="61"/>
      <c r="I36" s="51" t="s">
        <v>114</v>
      </c>
      <c r="J36" s="52" t="s">
        <v>115</v>
      </c>
    </row>
    <row r="37" spans="1:10" x14ac:dyDescent="0.35">
      <c r="A37" s="62"/>
      <c r="B37" s="63"/>
      <c r="C37" s="63"/>
      <c r="D37" s="63"/>
      <c r="E37" s="63"/>
      <c r="F37" s="63"/>
      <c r="G37" s="63"/>
      <c r="H37" s="64"/>
      <c r="I37" s="53" t="s">
        <v>113</v>
      </c>
      <c r="J37" s="42"/>
    </row>
    <row r="38" spans="1:10" x14ac:dyDescent="0.35">
      <c r="A38" s="57" t="s">
        <v>64</v>
      </c>
      <c r="H38" s="42"/>
      <c r="I38" s="35"/>
      <c r="J38" s="42"/>
    </row>
    <row r="39" spans="1:10" x14ac:dyDescent="0.35">
      <c r="A39" s="35"/>
      <c r="H39" s="42"/>
      <c r="I39" s="35"/>
      <c r="J39" s="42"/>
    </row>
    <row r="40" spans="1:10" x14ac:dyDescent="0.35">
      <c r="A40" s="35"/>
      <c r="B40" s="65" t="s">
        <v>49</v>
      </c>
      <c r="C40" s="65"/>
      <c r="D40" s="66" t="s">
        <v>50</v>
      </c>
      <c r="E40" s="66"/>
      <c r="F40" s="67" t="s">
        <v>91</v>
      </c>
      <c r="G40" s="67"/>
      <c r="H40" s="42" t="s">
        <v>79</v>
      </c>
      <c r="I40" s="35"/>
      <c r="J40" s="42"/>
    </row>
    <row r="41" spans="1:10" x14ac:dyDescent="0.35">
      <c r="A41" s="35"/>
      <c r="B41" t="s">
        <v>66</v>
      </c>
      <c r="C41" t="s">
        <v>65</v>
      </c>
      <c r="D41" t="s">
        <v>66</v>
      </c>
      <c r="E41" t="s">
        <v>65</v>
      </c>
      <c r="F41" t="s">
        <v>66</v>
      </c>
      <c r="G41" t="s">
        <v>65</v>
      </c>
      <c r="H41" s="42" t="s">
        <v>80</v>
      </c>
      <c r="I41" s="35"/>
      <c r="J41" s="42"/>
    </row>
    <row r="42" spans="1:10" x14ac:dyDescent="0.35">
      <c r="A42" s="35" t="s">
        <v>3</v>
      </c>
      <c r="B42">
        <v>20000</v>
      </c>
      <c r="C42">
        <f>(52000+78000)/3</f>
        <v>43333.333333333336</v>
      </c>
      <c r="D42">
        <v>0</v>
      </c>
      <c r="E42">
        <v>0</v>
      </c>
      <c r="F42" s="23" t="s">
        <v>46</v>
      </c>
      <c r="G42" s="23" t="s">
        <v>46</v>
      </c>
      <c r="H42" s="42"/>
      <c r="I42" s="35">
        <v>458253</v>
      </c>
      <c r="J42" s="37">
        <f>I42/SUM($I$42:$I$68)</f>
        <v>1.5958525448170443E-2</v>
      </c>
    </row>
    <row r="43" spans="1:10" x14ac:dyDescent="0.35">
      <c r="A43" s="35" t="s">
        <v>9</v>
      </c>
      <c r="B43">
        <v>53089</v>
      </c>
      <c r="C43">
        <v>53089</v>
      </c>
      <c r="D43">
        <v>53089</v>
      </c>
      <c r="E43">
        <v>53089</v>
      </c>
      <c r="F43">
        <f>B43</f>
        <v>53089</v>
      </c>
      <c r="G43">
        <f>C43</f>
        <v>53089</v>
      </c>
      <c r="H43" s="42"/>
      <c r="I43" s="35">
        <v>152923</v>
      </c>
      <c r="J43" s="37">
        <f t="shared" ref="J43:J67" si="1">I43/SUM($I$42:$I$68)</f>
        <v>5.3254983319488769E-3</v>
      </c>
    </row>
    <row r="44" spans="1:10" x14ac:dyDescent="0.35">
      <c r="A44" s="35" t="s">
        <v>10</v>
      </c>
      <c r="B44">
        <v>20000</v>
      </c>
      <c r="C44" s="23" t="s">
        <v>46</v>
      </c>
      <c r="D44">
        <v>0</v>
      </c>
      <c r="E44">
        <v>0</v>
      </c>
      <c r="F44" s="23" t="s">
        <v>46</v>
      </c>
      <c r="G44" s="23" t="s">
        <v>46</v>
      </c>
      <c r="H44" s="42"/>
      <c r="I44" s="35">
        <v>102951</v>
      </c>
      <c r="J44" s="37">
        <f t="shared" si="1"/>
        <v>3.5852381837425951E-3</v>
      </c>
    </row>
    <row r="45" spans="1:10" x14ac:dyDescent="0.35">
      <c r="A45" s="35" t="s">
        <v>15</v>
      </c>
      <c r="B45">
        <v>4000</v>
      </c>
      <c r="C45">
        <v>30000</v>
      </c>
      <c r="D45">
        <v>0</v>
      </c>
      <c r="E45">
        <v>0</v>
      </c>
      <c r="F45" s="23" t="s">
        <v>46</v>
      </c>
      <c r="G45" s="23" t="s">
        <v>46</v>
      </c>
      <c r="H45" s="42" t="s">
        <v>86</v>
      </c>
      <c r="I45" s="35">
        <v>338389</v>
      </c>
      <c r="J45" s="37">
        <f t="shared" si="1"/>
        <v>1.1784297032165525E-2</v>
      </c>
    </row>
    <row r="46" spans="1:10" x14ac:dyDescent="0.35">
      <c r="A46" s="35" t="s">
        <v>18</v>
      </c>
      <c r="B46">
        <v>8000</v>
      </c>
      <c r="C46" s="23" t="s">
        <v>46</v>
      </c>
      <c r="D46">
        <v>0</v>
      </c>
      <c r="E46">
        <v>0</v>
      </c>
      <c r="F46" s="23" t="s">
        <v>46</v>
      </c>
      <c r="G46" s="23" t="s">
        <v>46</v>
      </c>
      <c r="H46" s="42"/>
      <c r="I46" s="35">
        <v>921776</v>
      </c>
      <c r="J46" s="37">
        <f t="shared" si="1"/>
        <v>3.2100577090630633E-2</v>
      </c>
    </row>
    <row r="47" spans="1:10" x14ac:dyDescent="0.35">
      <c r="A47" s="35" t="s">
        <v>21</v>
      </c>
      <c r="B47">
        <v>3800</v>
      </c>
      <c r="C47" s="23" t="s">
        <v>46</v>
      </c>
      <c r="D47" s="23" t="s">
        <v>46</v>
      </c>
      <c r="E47" s="23" t="s">
        <v>46</v>
      </c>
      <c r="F47" s="23" t="s">
        <v>46</v>
      </c>
      <c r="G47" s="23" t="s">
        <v>46</v>
      </c>
      <c r="H47" s="42" t="s">
        <v>87</v>
      </c>
      <c r="I47" s="35">
        <v>397702</v>
      </c>
      <c r="J47" s="37">
        <f t="shared" si="1"/>
        <v>1.384985474789752E-2</v>
      </c>
    </row>
    <row r="48" spans="1:10" x14ac:dyDescent="0.35">
      <c r="A48" s="35" t="s">
        <v>31</v>
      </c>
      <c r="B48" s="23" t="s">
        <v>46</v>
      </c>
      <c r="C48" s="23" t="s">
        <v>46</v>
      </c>
      <c r="D48">
        <v>0</v>
      </c>
      <c r="E48">
        <v>0</v>
      </c>
      <c r="F48">
        <v>0</v>
      </c>
      <c r="G48">
        <v>0</v>
      </c>
      <c r="H48" s="42"/>
      <c r="I48" s="35"/>
      <c r="J48" s="37">
        <f t="shared" si="1"/>
        <v>0</v>
      </c>
    </row>
    <row r="49" spans="1:10" x14ac:dyDescent="0.35">
      <c r="A49" s="35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42"/>
      <c r="I49" s="35">
        <v>91331</v>
      </c>
      <c r="J49" s="37">
        <f t="shared" si="1"/>
        <v>3.1805751139803882E-3</v>
      </c>
    </row>
    <row r="50" spans="1:10" x14ac:dyDescent="0.35">
      <c r="A50" s="35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42"/>
      <c r="I50" s="35">
        <v>268000</v>
      </c>
      <c r="J50" s="37">
        <f t="shared" si="1"/>
        <v>9.3330208860818789E-3</v>
      </c>
    </row>
    <row r="51" spans="1:10" x14ac:dyDescent="0.35">
      <c r="A51" s="35" t="s">
        <v>40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2"/>
      <c r="I51" s="35">
        <v>850998</v>
      </c>
      <c r="J51" s="37">
        <f t="shared" si="1"/>
        <v>2.9635754134380247E-2</v>
      </c>
    </row>
    <row r="52" spans="1:10" x14ac:dyDescent="0.35">
      <c r="A52" s="35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2"/>
      <c r="I52" s="35">
        <v>1140000</v>
      </c>
      <c r="J52" s="37">
        <f t="shared" si="1"/>
        <v>3.9700163470646796E-2</v>
      </c>
    </row>
    <row r="53" spans="1:10" x14ac:dyDescent="0.35">
      <c r="A53" s="35" t="s">
        <v>35</v>
      </c>
      <c r="B53" s="23" t="s">
        <v>46</v>
      </c>
      <c r="C53" s="23" t="s">
        <v>46</v>
      </c>
      <c r="D53" s="23" t="s">
        <v>46</v>
      </c>
      <c r="E53" s="23" t="s">
        <v>46</v>
      </c>
      <c r="F53" s="23" t="s">
        <v>46</v>
      </c>
      <c r="G53" s="23" t="s">
        <v>46</v>
      </c>
      <c r="H53" s="42"/>
      <c r="I53" s="35">
        <v>2814490</v>
      </c>
      <c r="J53" s="37">
        <f t="shared" si="1"/>
        <v>9.8013783409211144E-2</v>
      </c>
    </row>
    <row r="54" spans="1:10" x14ac:dyDescent="0.35">
      <c r="A54" s="35" t="s">
        <v>34</v>
      </c>
      <c r="B54" s="23" t="s">
        <v>46</v>
      </c>
      <c r="C54" s="23" t="s">
        <v>46</v>
      </c>
      <c r="D54" s="23" t="s">
        <v>46</v>
      </c>
      <c r="E54" s="23" t="s">
        <v>46</v>
      </c>
      <c r="F54" s="23" t="s">
        <v>46</v>
      </c>
      <c r="G54" s="23" t="s">
        <v>46</v>
      </c>
      <c r="H54" s="42"/>
      <c r="I54" s="35">
        <v>1031010</v>
      </c>
      <c r="J54" s="37">
        <f t="shared" si="1"/>
        <v>3.5904618894624173E-2</v>
      </c>
    </row>
    <row r="55" spans="1:10" x14ac:dyDescent="0.35">
      <c r="A55" s="35" t="s">
        <v>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s="42"/>
      <c r="I55" s="35">
        <v>39006</v>
      </c>
      <c r="J55" s="37">
        <f t="shared" si="1"/>
        <v>1.358372435382499E-3</v>
      </c>
    </row>
    <row r="56" spans="1:10" x14ac:dyDescent="0.35">
      <c r="A56" s="35" t="s">
        <v>25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42"/>
      <c r="I56" s="35">
        <v>50500</v>
      </c>
      <c r="J56" s="37">
        <f t="shared" si="1"/>
        <v>1.7586475923400554E-3</v>
      </c>
    </row>
    <row r="57" spans="1:10" x14ac:dyDescent="0.35">
      <c r="A57" s="35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42"/>
      <c r="I57" s="35">
        <v>52799</v>
      </c>
      <c r="J57" s="37">
        <f t="shared" si="1"/>
        <v>1.8387095886725265E-3</v>
      </c>
    </row>
    <row r="58" spans="1:10" x14ac:dyDescent="0.35">
      <c r="A58" s="35" t="s">
        <v>73</v>
      </c>
      <c r="B58" s="23" t="s">
        <v>46</v>
      </c>
      <c r="C58" s="23" t="s">
        <v>46</v>
      </c>
      <c r="D58" s="23" t="s">
        <v>46</v>
      </c>
      <c r="E58" s="23" t="s">
        <v>46</v>
      </c>
      <c r="F58" s="23" t="s">
        <v>46</v>
      </c>
      <c r="G58" s="23" t="s">
        <v>46</v>
      </c>
      <c r="H58" s="42"/>
      <c r="I58" s="35">
        <v>4260610</v>
      </c>
      <c r="J58" s="37">
        <f t="shared" si="1"/>
        <v>0.14837448551287058</v>
      </c>
    </row>
    <row r="59" spans="1:10" x14ac:dyDescent="0.35">
      <c r="A59" s="35" t="s">
        <v>75</v>
      </c>
      <c r="B59" s="23" t="s">
        <v>46</v>
      </c>
      <c r="C59" s="23" t="s">
        <v>46</v>
      </c>
      <c r="D59" s="23" t="s">
        <v>46</v>
      </c>
      <c r="E59" s="23" t="s">
        <v>46</v>
      </c>
      <c r="F59" s="23" t="s">
        <v>46</v>
      </c>
      <c r="G59" s="23" t="s">
        <v>46</v>
      </c>
      <c r="H59" s="42" t="s">
        <v>88</v>
      </c>
      <c r="I59" s="35">
        <v>2999416</v>
      </c>
      <c r="J59" s="37">
        <f t="shared" si="1"/>
        <v>0.10445377676883644</v>
      </c>
    </row>
    <row r="60" spans="1:10" x14ac:dyDescent="0.35">
      <c r="A60" s="35" t="s">
        <v>43</v>
      </c>
      <c r="B60" s="23" t="s">
        <v>46</v>
      </c>
      <c r="C60" s="23" t="s">
        <v>46</v>
      </c>
      <c r="D60" s="23" t="s">
        <v>46</v>
      </c>
      <c r="E60" s="23" t="s">
        <v>46</v>
      </c>
      <c r="F60" s="23" t="s">
        <v>46</v>
      </c>
      <c r="G60" s="23" t="s">
        <v>46</v>
      </c>
      <c r="H60" s="42"/>
      <c r="I60" s="35">
        <v>595580</v>
      </c>
      <c r="J60" s="37">
        <f t="shared" si="1"/>
        <v>2.0740897684077032E-2</v>
      </c>
    </row>
    <row r="61" spans="1:10" x14ac:dyDescent="0.35">
      <c r="A61" s="35" t="s">
        <v>13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42"/>
      <c r="I61" s="35">
        <v>376235</v>
      </c>
      <c r="J61" s="37">
        <f t="shared" si="1"/>
        <v>1.3102272809981401E-2</v>
      </c>
    </row>
    <row r="62" spans="1:10" x14ac:dyDescent="0.35">
      <c r="A62" s="35" t="s">
        <v>76</v>
      </c>
      <c r="B62" s="23" t="s">
        <v>46</v>
      </c>
      <c r="C62" s="23" t="s">
        <v>46</v>
      </c>
      <c r="D62" s="23" t="s">
        <v>46</v>
      </c>
      <c r="E62" s="23" t="s">
        <v>46</v>
      </c>
      <c r="F62" s="23" t="s">
        <v>46</v>
      </c>
      <c r="G62" s="23" t="s">
        <v>46</v>
      </c>
      <c r="H62" s="42"/>
      <c r="I62" s="35">
        <v>596481</v>
      </c>
      <c r="J62" s="37">
        <f t="shared" si="1"/>
        <v>2.0772274743100765E-2</v>
      </c>
    </row>
    <row r="63" spans="1:10" x14ac:dyDescent="0.35">
      <c r="A63" s="35" t="s">
        <v>77</v>
      </c>
      <c r="B63" s="23" t="s">
        <v>46</v>
      </c>
      <c r="C63" s="23" t="s">
        <v>46</v>
      </c>
      <c r="D63" s="23" t="s">
        <v>46</v>
      </c>
      <c r="E63" s="23" t="s">
        <v>46</v>
      </c>
      <c r="F63" s="23" t="s">
        <v>46</v>
      </c>
      <c r="G63" s="23" t="s">
        <v>46</v>
      </c>
      <c r="H63" s="42"/>
      <c r="I63" s="35">
        <v>829416</v>
      </c>
      <c r="J63" s="37">
        <f t="shared" si="1"/>
        <v>2.8884167355412264E-2</v>
      </c>
    </row>
    <row r="64" spans="1:10" x14ac:dyDescent="0.35">
      <c r="A64" s="35" t="s">
        <v>16</v>
      </c>
      <c r="B64" s="23" t="s">
        <v>46</v>
      </c>
      <c r="C64" s="23" t="s">
        <v>46</v>
      </c>
      <c r="D64" s="23" t="s">
        <v>46</v>
      </c>
      <c r="E64" s="23" t="s">
        <v>46</v>
      </c>
      <c r="F64" s="23" t="s">
        <v>46</v>
      </c>
      <c r="G64" s="23" t="s">
        <v>46</v>
      </c>
      <c r="H64" s="42"/>
      <c r="I64" s="35">
        <v>5904396</v>
      </c>
      <c r="J64" s="37">
        <f t="shared" si="1"/>
        <v>0.20561884771529215</v>
      </c>
    </row>
    <row r="65" spans="1:10" x14ac:dyDescent="0.35">
      <c r="A65" s="35" t="s">
        <v>41</v>
      </c>
      <c r="B65">
        <v>8000</v>
      </c>
      <c r="C65" s="23" t="s">
        <v>46</v>
      </c>
      <c r="D65" s="23" t="s">
        <v>46</v>
      </c>
      <c r="E65" s="23" t="s">
        <v>46</v>
      </c>
      <c r="F65" s="23" t="s">
        <v>46</v>
      </c>
      <c r="G65" s="23" t="s">
        <v>46</v>
      </c>
      <c r="H65" s="42" t="s">
        <v>84</v>
      </c>
      <c r="I65" s="35">
        <v>3862157</v>
      </c>
      <c r="J65" s="37">
        <f t="shared" si="1"/>
        <v>0.13449847741166915</v>
      </c>
    </row>
    <row r="66" spans="1:10" x14ac:dyDescent="0.35">
      <c r="A66" s="35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42"/>
      <c r="I66" s="35"/>
      <c r="J66" s="37">
        <f t="shared" si="1"/>
        <v>0</v>
      </c>
    </row>
    <row r="67" spans="1:10" x14ac:dyDescent="0.35">
      <c r="A67" s="35" t="s">
        <v>14</v>
      </c>
      <c r="B67" s="23" t="s">
        <v>46</v>
      </c>
      <c r="C67" s="23" t="s">
        <v>46</v>
      </c>
      <c r="D67" s="23" t="s">
        <v>46</v>
      </c>
      <c r="E67" s="23" t="s">
        <v>46</v>
      </c>
      <c r="F67" s="23" t="s">
        <v>46</v>
      </c>
      <c r="G67" s="23" t="s">
        <v>46</v>
      </c>
      <c r="H67" s="42"/>
      <c r="I67" s="35">
        <v>95246</v>
      </c>
      <c r="J67" s="37">
        <f t="shared" si="1"/>
        <v>3.3169138332677412E-3</v>
      </c>
    </row>
    <row r="68" spans="1:10" x14ac:dyDescent="0.35">
      <c r="A68" s="38" t="s">
        <v>78</v>
      </c>
      <c r="B68" s="43">
        <v>0</v>
      </c>
      <c r="C68" s="43">
        <v>0</v>
      </c>
      <c r="D68" s="43">
        <v>0</v>
      </c>
      <c r="E68" s="43">
        <v>0</v>
      </c>
      <c r="F68" s="43">
        <f>B68</f>
        <v>0</v>
      </c>
      <c r="G68" s="43">
        <f>C68</f>
        <v>0</v>
      </c>
      <c r="H68" s="45"/>
      <c r="I68" s="38">
        <v>485582</v>
      </c>
      <c r="J68" s="39">
        <f>I68/SUM($I$42:$I$68)</f>
        <v>1.6910249805617204E-2</v>
      </c>
    </row>
    <row r="69" spans="1:10" ht="15" thickBot="1" x14ac:dyDescent="0.4">
      <c r="A69" s="54" t="s">
        <v>48</v>
      </c>
      <c r="B69" s="55">
        <f>AVERAGE(B42:B68)</f>
        <v>6875.8235294117649</v>
      </c>
      <c r="C69" s="55">
        <f>AVERAGE(C42:C68)</f>
        <v>9724.794871794873</v>
      </c>
      <c r="D69" s="55">
        <f>AVERAGE(D42:D68)</f>
        <v>3318.0625</v>
      </c>
      <c r="E69" s="55">
        <f>AVERAGE(E42:E68)</f>
        <v>3318.0625</v>
      </c>
      <c r="F69" s="55">
        <f t="shared" ref="F69:G69" si="2">AVERAGE(F42:F68)</f>
        <v>4424.083333333333</v>
      </c>
      <c r="G69" s="56">
        <f t="shared" si="2"/>
        <v>4424.083333333333</v>
      </c>
    </row>
    <row r="71" spans="1:10" ht="15" thickBot="1" x14ac:dyDescent="0.4"/>
    <row r="72" spans="1:10" x14ac:dyDescent="0.35">
      <c r="C72" s="32" t="s">
        <v>89</v>
      </c>
      <c r="D72" s="6" t="s">
        <v>51</v>
      </c>
      <c r="E72" s="6" t="s">
        <v>52</v>
      </c>
      <c r="F72" s="7" t="s">
        <v>100</v>
      </c>
    </row>
    <row r="73" spans="1:10" x14ac:dyDescent="0.35">
      <c r="C73" s="46" t="s">
        <v>117</v>
      </c>
      <c r="D73" s="47">
        <f>AVERAGE(B69:C69)</f>
        <v>8300.3092006033185</v>
      </c>
      <c r="E73" s="47">
        <f>AVERAGE(D69:E69)</f>
        <v>3318.0625</v>
      </c>
      <c r="F73" s="48">
        <f>AVERAGE(F69:G69)</f>
        <v>4424.083333333333</v>
      </c>
    </row>
    <row r="74" spans="1:10" ht="15" thickBot="1" x14ac:dyDescent="0.4">
      <c r="C74" s="8" t="s">
        <v>119</v>
      </c>
      <c r="D74" s="49">
        <f>(SUMPRODUCT(C42:C68,J42:J68)/(1-SUMIFS($J42:$J68,C42:C68, "?"))+SUMPRODUCT(B42:B68,J42:J68)/(1-SUMIFS($J42:$J68,B42:B68, "?")))/2</f>
        <v>7583.0186007222856</v>
      </c>
      <c r="E74" s="49">
        <f>(SUMPRODUCT(E42:E68,J42:J68)/(1-SUMIFS($J42:$J68,E42:E68, "?"))+SUMPRODUCT(D42:D68,J42:J68)/(1-SUMIFS($J42:$J68,D42:D68, "?")))/2</f>
        <v>1523.5355030257606</v>
      </c>
      <c r="F74" s="50">
        <f>(SUMPRODUCT(F42:F68,K42:K68)/(1-SUMIFS($J42:$J68,F42:F68, "?"))+SUMPRODUCT(G42:G68,J42:J68)/(1-SUMIFS($J42:$J68,G42:G68, "?")))/2</f>
        <v>1157.351503860152</v>
      </c>
      <c r="I74" s="34"/>
    </row>
  </sheetData>
  <mergeCells count="8">
    <mergeCell ref="A36:H37"/>
    <mergeCell ref="B40:C40"/>
    <mergeCell ref="D40:E40"/>
    <mergeCell ref="F40:G40"/>
    <mergeCell ref="A1:G1"/>
    <mergeCell ref="A2:G2"/>
    <mergeCell ref="H1:I1"/>
    <mergeCell ref="H2:I2"/>
  </mergeCells>
  <conditionalFormatting sqref="I4:I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38" r:id="rId1" xr:uid="{6A4063F8-4DA6-4605-BC37-362177C9FDA2}"/>
    <hyperlink ref="A2" r:id="rId2" xr:uid="{F0A9837D-4DB1-4651-8639-8A5CB86E3ECA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769A-2BE0-481B-9289-63444596D0EE}">
  <dimension ref="A1:V76"/>
  <sheetViews>
    <sheetView topLeftCell="A43" zoomScale="66" zoomScaleNormal="100" workbookViewId="0">
      <selection activeCell="C70" sqref="C70"/>
    </sheetView>
  </sheetViews>
  <sheetFormatPr defaultColWidth="10.81640625" defaultRowHeight="14.5" x14ac:dyDescent="0.35"/>
  <cols>
    <col min="2" max="2" width="15.453125" customWidth="1"/>
    <col min="3" max="3" width="79" customWidth="1"/>
    <col min="4" max="4" width="18.453125" bestFit="1" customWidth="1"/>
    <col min="5" max="5" width="22.54296875" bestFit="1" customWidth="1"/>
    <col min="7" max="7" width="18" bestFit="1" customWidth="1"/>
    <col min="8" max="8" width="26.453125" customWidth="1"/>
    <col min="9" max="9" width="21.1796875" customWidth="1"/>
    <col min="10" max="10" width="18.54296875" bestFit="1" customWidth="1"/>
  </cols>
  <sheetData>
    <row r="1" spans="1:22" s="81" customFormat="1" x14ac:dyDescent="0.35">
      <c r="A1" s="82" t="s">
        <v>120</v>
      </c>
    </row>
    <row r="3" spans="1:22" ht="29.15" customHeight="1" x14ac:dyDescent="0.35">
      <c r="A3" s="68" t="s">
        <v>118</v>
      </c>
      <c r="B3" s="69"/>
      <c r="C3" s="69"/>
      <c r="D3" s="69"/>
      <c r="E3" s="69"/>
      <c r="F3" s="69"/>
      <c r="G3" s="70"/>
      <c r="H3" s="74" t="s">
        <v>114</v>
      </c>
      <c r="I3" s="75"/>
      <c r="J3" s="33"/>
    </row>
    <row r="4" spans="1:22" ht="15.5" x14ac:dyDescent="0.35">
      <c r="A4" s="71" t="s">
        <v>106</v>
      </c>
      <c r="B4" s="72"/>
      <c r="C4" s="72"/>
      <c r="D4" s="72"/>
      <c r="E4" s="72"/>
      <c r="F4" s="72"/>
      <c r="G4" s="73"/>
      <c r="H4" s="76" t="s">
        <v>113</v>
      </c>
      <c r="I4" s="77"/>
      <c r="J4" s="33"/>
    </row>
    <row r="5" spans="1:22" ht="16" thickBot="1" x14ac:dyDescent="0.4">
      <c r="A5" s="40"/>
      <c r="B5" s="33" t="s">
        <v>4</v>
      </c>
      <c r="C5" s="33" t="s">
        <v>5</v>
      </c>
      <c r="D5" s="33" t="s">
        <v>44</v>
      </c>
      <c r="E5" s="33" t="s">
        <v>45</v>
      </c>
      <c r="F5" s="33" t="s">
        <v>91</v>
      </c>
      <c r="G5" s="36" t="s">
        <v>79</v>
      </c>
      <c r="H5" s="35"/>
      <c r="I5" s="36" t="s">
        <v>115</v>
      </c>
      <c r="J5" s="33"/>
    </row>
    <row r="6" spans="1:22" ht="72.5" x14ac:dyDescent="0.35">
      <c r="A6" s="35" t="s">
        <v>3</v>
      </c>
      <c r="C6" s="41" t="s">
        <v>107</v>
      </c>
      <c r="D6">
        <v>3000</v>
      </c>
      <c r="E6">
        <v>1250</v>
      </c>
      <c r="F6" s="23" t="s">
        <v>46</v>
      </c>
      <c r="G6" s="42" t="s">
        <v>80</v>
      </c>
      <c r="H6" s="35">
        <v>5091827</v>
      </c>
      <c r="I6" s="37">
        <f>H6/SUM($H$6:$H$32)</f>
        <v>2.0669431425593385E-2</v>
      </c>
      <c r="K6" s="15">
        <v>0</v>
      </c>
      <c r="L6" s="16" t="s">
        <v>95</v>
      </c>
      <c r="M6" s="16"/>
      <c r="N6" s="16"/>
      <c r="O6" s="16"/>
      <c r="P6" s="16"/>
      <c r="Q6" s="16"/>
      <c r="R6" s="16"/>
      <c r="S6" s="16"/>
      <c r="T6" s="16"/>
      <c r="U6" s="16"/>
      <c r="V6" s="17"/>
    </row>
    <row r="7" spans="1:22" ht="15" thickBot="1" x14ac:dyDescent="0.4">
      <c r="A7" s="35" t="s">
        <v>6</v>
      </c>
      <c r="C7" s="41" t="s">
        <v>8</v>
      </c>
      <c r="D7">
        <v>0</v>
      </c>
      <c r="E7">
        <v>0</v>
      </c>
      <c r="F7">
        <v>0</v>
      </c>
      <c r="G7" s="42"/>
      <c r="H7" s="35">
        <v>5827195</v>
      </c>
      <c r="I7" s="37">
        <f t="shared" ref="I7:I32" si="0">H7/SUM($H$6:$H$32)</f>
        <v>2.3654536467177821E-2</v>
      </c>
      <c r="K7" s="24" t="s">
        <v>46</v>
      </c>
      <c r="L7" s="19" t="s">
        <v>96</v>
      </c>
      <c r="M7" s="19"/>
      <c r="N7" s="19"/>
      <c r="O7" s="19"/>
      <c r="P7" s="19"/>
      <c r="Q7" s="19"/>
      <c r="R7" s="19"/>
      <c r="S7" s="19"/>
      <c r="T7" s="19"/>
      <c r="U7" s="19"/>
      <c r="V7" s="20"/>
    </row>
    <row r="8" spans="1:22" x14ac:dyDescent="0.35">
      <c r="A8" s="35" t="s">
        <v>7</v>
      </c>
      <c r="C8" s="41" t="s">
        <v>8</v>
      </c>
      <c r="D8">
        <v>0</v>
      </c>
      <c r="E8">
        <v>0</v>
      </c>
      <c r="F8">
        <v>0</v>
      </c>
      <c r="G8" s="42"/>
      <c r="H8" s="35"/>
      <c r="I8" s="37">
        <f t="shared" si="0"/>
        <v>0</v>
      </c>
    </row>
    <row r="9" spans="1:22" ht="43.5" x14ac:dyDescent="0.35">
      <c r="A9" s="35" t="s">
        <v>9</v>
      </c>
      <c r="C9" s="41" t="s">
        <v>109</v>
      </c>
      <c r="D9">
        <v>9291</v>
      </c>
      <c r="E9">
        <v>5309</v>
      </c>
      <c r="F9" s="23" t="s">
        <v>46</v>
      </c>
      <c r="G9" s="42"/>
      <c r="H9" s="35">
        <v>1733727</v>
      </c>
      <c r="I9" s="37">
        <f t="shared" si="0"/>
        <v>7.0377786474677441E-3</v>
      </c>
    </row>
    <row r="10" spans="1:22" ht="43.5" x14ac:dyDescent="0.35">
      <c r="A10" s="35" t="s">
        <v>10</v>
      </c>
      <c r="C10" s="41" t="s">
        <v>108</v>
      </c>
      <c r="D10">
        <v>19000</v>
      </c>
      <c r="E10">
        <v>0</v>
      </c>
      <c r="F10" s="23" t="s">
        <v>46</v>
      </c>
      <c r="G10" s="42"/>
      <c r="H10" s="35">
        <v>578158</v>
      </c>
      <c r="I10" s="37">
        <f t="shared" si="0"/>
        <v>2.3469369902312512E-3</v>
      </c>
    </row>
    <row r="11" spans="1:22" x14ac:dyDescent="0.35">
      <c r="A11" s="35" t="s">
        <v>11</v>
      </c>
      <c r="C11" s="41" t="s">
        <v>12</v>
      </c>
      <c r="D11" s="23" t="s">
        <v>46</v>
      </c>
      <c r="E11" s="23" t="s">
        <v>46</v>
      </c>
      <c r="F11" s="23" t="s">
        <v>46</v>
      </c>
      <c r="G11" s="42"/>
      <c r="H11" s="35">
        <v>6129874</v>
      </c>
      <c r="I11" s="37">
        <f t="shared" si="0"/>
        <v>2.4883211917947689E-2</v>
      </c>
    </row>
    <row r="12" spans="1:22" x14ac:dyDescent="0.35">
      <c r="A12" s="35" t="s">
        <v>13</v>
      </c>
      <c r="C12" s="41" t="s">
        <v>8</v>
      </c>
      <c r="D12">
        <v>0</v>
      </c>
      <c r="E12">
        <v>0</v>
      </c>
      <c r="F12">
        <v>0</v>
      </c>
      <c r="G12" s="42"/>
      <c r="H12" s="35">
        <v>2720273</v>
      </c>
      <c r="I12" s="37">
        <f t="shared" si="0"/>
        <v>1.1042499329296379E-2</v>
      </c>
    </row>
    <row r="13" spans="1:22" ht="43.5" x14ac:dyDescent="0.35">
      <c r="A13" s="35" t="s">
        <v>14</v>
      </c>
      <c r="C13" s="41" t="s">
        <v>110</v>
      </c>
      <c r="D13">
        <v>5000</v>
      </c>
      <c r="E13">
        <v>0</v>
      </c>
      <c r="F13">
        <f>D13</f>
        <v>5000</v>
      </c>
      <c r="G13" s="42"/>
      <c r="H13" s="35">
        <v>808689</v>
      </c>
      <c r="I13" s="37">
        <f t="shared" si="0"/>
        <v>3.2827395412553663E-3</v>
      </c>
    </row>
    <row r="14" spans="1:22" x14ac:dyDescent="0.35">
      <c r="A14" s="35" t="s">
        <v>15</v>
      </c>
      <c r="C14" s="41" t="s">
        <v>8</v>
      </c>
      <c r="D14">
        <v>0</v>
      </c>
      <c r="E14">
        <v>0</v>
      </c>
      <c r="F14">
        <v>0</v>
      </c>
      <c r="G14" s="42"/>
      <c r="H14" s="35">
        <v>2748448</v>
      </c>
      <c r="I14" s="37">
        <f t="shared" si="0"/>
        <v>1.1156871092205074E-2</v>
      </c>
    </row>
    <row r="15" spans="1:22" ht="72.5" x14ac:dyDescent="0.35">
      <c r="A15" s="35" t="s">
        <v>16</v>
      </c>
      <c r="C15" s="41" t="s">
        <v>111</v>
      </c>
      <c r="D15">
        <v>5000</v>
      </c>
      <c r="E15">
        <v>0</v>
      </c>
      <c r="F15">
        <f>D15</f>
        <v>5000</v>
      </c>
      <c r="G15" s="42"/>
      <c r="H15" s="35">
        <v>38346266</v>
      </c>
      <c r="I15" s="37">
        <f t="shared" si="0"/>
        <v>0.15566033871821708</v>
      </c>
    </row>
    <row r="16" spans="1:22" ht="58" x14ac:dyDescent="0.35">
      <c r="A16" s="35" t="s">
        <v>17</v>
      </c>
      <c r="C16" s="41" t="s">
        <v>112</v>
      </c>
      <c r="D16">
        <f>(6750+4500)/2</f>
        <v>5625</v>
      </c>
      <c r="E16">
        <v>0</v>
      </c>
      <c r="F16">
        <f>D16</f>
        <v>5625</v>
      </c>
      <c r="G16" s="42" t="s">
        <v>81</v>
      </c>
      <c r="H16" s="35">
        <v>48248584</v>
      </c>
      <c r="I16" s="37">
        <f t="shared" si="0"/>
        <v>0.19585716450499638</v>
      </c>
    </row>
    <row r="17" spans="1:9" ht="174" x14ac:dyDescent="0.35">
      <c r="A17" s="35" t="s">
        <v>18</v>
      </c>
      <c r="C17" s="41" t="s">
        <v>19</v>
      </c>
      <c r="D17" s="23" t="s">
        <v>46</v>
      </c>
      <c r="E17">
        <v>0</v>
      </c>
      <c r="F17" s="23" t="s">
        <v>46</v>
      </c>
      <c r="G17" s="42"/>
      <c r="H17" s="35">
        <v>5315875</v>
      </c>
      <c r="I17" s="37">
        <f t="shared" si="0"/>
        <v>2.157891730797732E-2</v>
      </c>
    </row>
    <row r="18" spans="1:9" ht="29" x14ac:dyDescent="0.35">
      <c r="A18" s="35" t="s">
        <v>20</v>
      </c>
      <c r="C18" s="41" t="s">
        <v>22</v>
      </c>
      <c r="D18">
        <f>(7350+1500)/2</f>
        <v>4425</v>
      </c>
      <c r="E18">
        <v>0</v>
      </c>
      <c r="F18" s="23" t="s">
        <v>46</v>
      </c>
      <c r="G18" s="42" t="s">
        <v>82</v>
      </c>
      <c r="H18" s="35">
        <v>3918923</v>
      </c>
      <c r="I18" s="37">
        <f t="shared" si="0"/>
        <v>1.5908221196572606E-2</v>
      </c>
    </row>
    <row r="19" spans="1:9" ht="29" x14ac:dyDescent="0.35">
      <c r="A19" s="35" t="s">
        <v>21</v>
      </c>
      <c r="C19" s="41" t="s">
        <v>23</v>
      </c>
      <c r="D19">
        <v>5000</v>
      </c>
      <c r="E19">
        <v>5000</v>
      </c>
      <c r="F19" s="23" t="s">
        <v>46</v>
      </c>
      <c r="G19" s="42" t="s">
        <v>83</v>
      </c>
      <c r="H19" s="35">
        <v>2215127</v>
      </c>
      <c r="I19" s="37">
        <f t="shared" si="0"/>
        <v>8.9919425042289131E-3</v>
      </c>
    </row>
    <row r="20" spans="1:9" ht="58" x14ac:dyDescent="0.35">
      <c r="A20" s="35" t="s">
        <v>24</v>
      </c>
      <c r="C20" s="41" t="s">
        <v>116</v>
      </c>
      <c r="D20">
        <f>(3000+2000)/2</f>
        <v>2500</v>
      </c>
      <c r="E20">
        <f>D20</f>
        <v>2500</v>
      </c>
      <c r="F20" s="23" t="s">
        <v>46</v>
      </c>
      <c r="G20" s="42"/>
      <c r="H20" s="35">
        <v>39717874</v>
      </c>
      <c r="I20" s="37">
        <f t="shared" si="0"/>
        <v>0.16122815504402613</v>
      </c>
    </row>
    <row r="21" spans="1:9" x14ac:dyDescent="0.35">
      <c r="A21" s="35" t="s">
        <v>25</v>
      </c>
      <c r="C21" s="41" t="s">
        <v>8</v>
      </c>
      <c r="D21">
        <v>0</v>
      </c>
      <c r="E21">
        <v>0</v>
      </c>
      <c r="F21">
        <v>0</v>
      </c>
      <c r="G21" s="42"/>
      <c r="H21" s="35">
        <v>672962</v>
      </c>
      <c r="I21" s="37">
        <f t="shared" si="0"/>
        <v>2.73177818316101E-3</v>
      </c>
    </row>
    <row r="22" spans="1:9" ht="72.5" x14ac:dyDescent="0.35">
      <c r="A22" s="35" t="s">
        <v>29</v>
      </c>
      <c r="C22" s="41" t="s">
        <v>26</v>
      </c>
      <c r="D22">
        <f>(2500+5000)/2</f>
        <v>3750</v>
      </c>
      <c r="E22">
        <v>0</v>
      </c>
      <c r="F22" s="23" t="s">
        <v>46</v>
      </c>
      <c r="G22" s="42" t="s">
        <v>83</v>
      </c>
      <c r="H22" s="35">
        <v>1285743</v>
      </c>
      <c r="I22" s="37">
        <f t="shared" si="0"/>
        <v>5.2192615282170259E-3</v>
      </c>
    </row>
    <row r="23" spans="1:9" x14ac:dyDescent="0.35">
      <c r="A23" s="35" t="s">
        <v>30</v>
      </c>
      <c r="C23" s="41" t="s">
        <v>27</v>
      </c>
      <c r="D23">
        <f>(8000+3000)/2</f>
        <v>5500</v>
      </c>
      <c r="E23">
        <f>2500</f>
        <v>2500</v>
      </c>
      <c r="F23" s="23" t="s">
        <v>46</v>
      </c>
      <c r="G23" s="42"/>
      <c r="H23" s="35">
        <v>435989</v>
      </c>
      <c r="I23" s="37">
        <f t="shared" si="0"/>
        <v>1.769825396230672E-3</v>
      </c>
    </row>
    <row r="24" spans="1:9" ht="29" x14ac:dyDescent="0.35">
      <c r="A24" s="35" t="s">
        <v>31</v>
      </c>
      <c r="C24" s="41" t="s">
        <v>28</v>
      </c>
      <c r="D24">
        <v>11000</v>
      </c>
      <c r="E24">
        <v>0</v>
      </c>
      <c r="F24" s="23" t="s">
        <v>46</v>
      </c>
      <c r="G24" s="42"/>
      <c r="H24" s="35"/>
      <c r="I24" s="37">
        <f t="shared" si="0"/>
        <v>0</v>
      </c>
    </row>
    <row r="25" spans="1:9" ht="58" x14ac:dyDescent="0.35">
      <c r="A25" s="35" t="s">
        <v>34</v>
      </c>
      <c r="C25" s="41" t="s">
        <v>32</v>
      </c>
      <c r="D25" s="23" t="s">
        <v>46</v>
      </c>
      <c r="E25" s="23" t="s">
        <v>46</v>
      </c>
      <c r="F25" s="23" t="s">
        <v>46</v>
      </c>
      <c r="G25" s="42"/>
      <c r="H25" s="35">
        <v>9049959</v>
      </c>
      <c r="I25" s="37">
        <f t="shared" si="0"/>
        <v>3.6736815087184162E-2</v>
      </c>
    </row>
    <row r="26" spans="1:9" ht="29" x14ac:dyDescent="0.35">
      <c r="A26" s="35" t="s">
        <v>35</v>
      </c>
      <c r="C26" s="41" t="s">
        <v>47</v>
      </c>
      <c r="D26">
        <f>(4350+6082)/2</f>
        <v>5216</v>
      </c>
      <c r="E26">
        <v>0</v>
      </c>
      <c r="F26">
        <f>D26</f>
        <v>5216</v>
      </c>
      <c r="G26" s="42"/>
      <c r="H26" s="35">
        <v>25113862</v>
      </c>
      <c r="I26" s="37">
        <f t="shared" si="0"/>
        <v>0.10194557836328993</v>
      </c>
    </row>
    <row r="27" spans="1:9" ht="29" x14ac:dyDescent="0.35">
      <c r="A27" s="35" t="s">
        <v>36</v>
      </c>
      <c r="C27" s="41" t="s">
        <v>33</v>
      </c>
      <c r="D27">
        <v>3000</v>
      </c>
      <c r="E27">
        <v>0</v>
      </c>
      <c r="F27" s="23" t="s">
        <v>46</v>
      </c>
      <c r="G27" s="42"/>
      <c r="H27" s="35">
        <v>5300000</v>
      </c>
      <c r="I27" s="37">
        <f t="shared" si="0"/>
        <v>2.1514475365255917E-2</v>
      </c>
    </row>
    <row r="28" spans="1:9" ht="29" x14ac:dyDescent="0.35">
      <c r="A28" s="35" t="s">
        <v>40</v>
      </c>
      <c r="C28" s="41" t="s">
        <v>37</v>
      </c>
      <c r="D28">
        <f>11500/2</f>
        <v>5750</v>
      </c>
      <c r="E28">
        <f>6400/2</f>
        <v>3200</v>
      </c>
      <c r="F28" s="23" t="s">
        <v>46</v>
      </c>
      <c r="G28" s="42"/>
      <c r="H28" s="35">
        <v>7274728</v>
      </c>
      <c r="I28" s="37">
        <f t="shared" si="0"/>
        <v>2.9530557800931594E-2</v>
      </c>
    </row>
    <row r="29" spans="1:9" x14ac:dyDescent="0.35">
      <c r="A29" s="35" t="s">
        <v>71</v>
      </c>
      <c r="C29" s="41" t="s">
        <v>38</v>
      </c>
      <c r="D29">
        <f>4500/2</f>
        <v>2250</v>
      </c>
      <c r="E29">
        <v>0</v>
      </c>
      <c r="F29" s="23" t="s">
        <v>46</v>
      </c>
      <c r="G29" s="42"/>
      <c r="H29" s="35">
        <v>1253984</v>
      </c>
      <c r="I29" s="37">
        <f t="shared" si="0"/>
        <v>5.0903411087594485E-3</v>
      </c>
    </row>
    <row r="30" spans="1:9" ht="43.5" x14ac:dyDescent="0.35">
      <c r="A30" s="35" t="s">
        <v>41</v>
      </c>
      <c r="C30" s="41" t="s">
        <v>39</v>
      </c>
      <c r="D30">
        <f>(4500+7000)/2</f>
        <v>5750</v>
      </c>
      <c r="E30">
        <f>(2500+5000)/2</f>
        <v>3750</v>
      </c>
      <c r="F30">
        <f>D30</f>
        <v>5750</v>
      </c>
      <c r="G30" s="42" t="s">
        <v>84</v>
      </c>
      <c r="H30" s="35">
        <v>25169158</v>
      </c>
      <c r="I30" s="37">
        <f t="shared" si="0"/>
        <v>0.10217004335004412</v>
      </c>
    </row>
    <row r="31" spans="1:9" x14ac:dyDescent="0.35">
      <c r="A31" s="35" t="s">
        <v>42</v>
      </c>
      <c r="C31" s="41" t="s">
        <v>8</v>
      </c>
      <c r="D31">
        <v>0</v>
      </c>
      <c r="E31">
        <v>0</v>
      </c>
      <c r="F31">
        <v>0</v>
      </c>
      <c r="G31" s="42"/>
      <c r="H31" s="35">
        <v>2444478</v>
      </c>
      <c r="I31" s="37">
        <f t="shared" si="0"/>
        <v>9.922955039983028E-3</v>
      </c>
    </row>
    <row r="32" spans="1:9" x14ac:dyDescent="0.35">
      <c r="A32" s="38" t="s">
        <v>43</v>
      </c>
      <c r="B32" s="43"/>
      <c r="C32" s="44" t="s">
        <v>8</v>
      </c>
      <c r="D32" s="43">
        <v>0</v>
      </c>
      <c r="E32" s="43">
        <v>0</v>
      </c>
      <c r="F32" s="43">
        <v>0</v>
      </c>
      <c r="G32" s="45"/>
      <c r="H32" s="38">
        <v>4944067</v>
      </c>
      <c r="I32" s="39">
        <f t="shared" si="0"/>
        <v>2.0069624089749948E-2</v>
      </c>
    </row>
    <row r="33" spans="1:10" ht="15" thickBot="1" x14ac:dyDescent="0.4"/>
    <row r="34" spans="1:10" x14ac:dyDescent="0.35">
      <c r="C34" s="32" t="s">
        <v>101</v>
      </c>
      <c r="D34" s="6" t="s">
        <v>51</v>
      </c>
      <c r="E34" s="6" t="s">
        <v>52</v>
      </c>
      <c r="F34" s="7" t="s">
        <v>100</v>
      </c>
    </row>
    <row r="35" spans="1:10" x14ac:dyDescent="0.35">
      <c r="C35" s="46" t="s">
        <v>117</v>
      </c>
      <c r="D35" s="47">
        <f>AVERAGE(D6:D32)</f>
        <v>4210.708333333333</v>
      </c>
      <c r="E35" s="47">
        <f>AVERAGE(E6:E32)</f>
        <v>940.36</v>
      </c>
      <c r="F35" s="48">
        <f>AVERAGE(F6:F32)</f>
        <v>2215.9166666666665</v>
      </c>
    </row>
    <row r="36" spans="1:10" ht="15" thickBot="1" x14ac:dyDescent="0.4">
      <c r="C36" s="8" t="s">
        <v>119</v>
      </c>
      <c r="D36" s="49">
        <f>SUMPRODUCT(D6:D32,I6:I32)/(1-SUMIFS($I6:$I32,D6:D32, "?"))</f>
        <v>4342.4400001891509</v>
      </c>
      <c r="E36" s="49">
        <f>SUMPRODUCT(E6:E32,I6:I32)/(1-SUMIFS($I6:$I32,E6:E32, "?"))</f>
        <v>1058.5162683072981</v>
      </c>
      <c r="F36" s="50">
        <f>SUMPRODUCT(F6:F32,I6:I32)/(1-SUMIFS($I6:$I32,F6:F32, "?"))</f>
        <v>4730.4558457515423</v>
      </c>
    </row>
    <row r="38" spans="1:10" ht="29" x14ac:dyDescent="0.35">
      <c r="A38" s="59" t="s">
        <v>63</v>
      </c>
      <c r="B38" s="60"/>
      <c r="C38" s="60"/>
      <c r="D38" s="60"/>
      <c r="E38" s="60"/>
      <c r="F38" s="60"/>
      <c r="G38" s="60"/>
      <c r="H38" s="61"/>
      <c r="I38" s="51" t="s">
        <v>114</v>
      </c>
      <c r="J38" s="52" t="s">
        <v>115</v>
      </c>
    </row>
    <row r="39" spans="1:10" x14ac:dyDescent="0.35">
      <c r="A39" s="62"/>
      <c r="B39" s="63"/>
      <c r="C39" s="63"/>
      <c r="D39" s="63"/>
      <c r="E39" s="63"/>
      <c r="F39" s="63"/>
      <c r="G39" s="63"/>
      <c r="H39" s="64"/>
      <c r="I39" s="53" t="s">
        <v>113</v>
      </c>
      <c r="J39" s="42"/>
    </row>
    <row r="40" spans="1:10" x14ac:dyDescent="0.35">
      <c r="A40" s="57" t="s">
        <v>64</v>
      </c>
      <c r="H40" s="42"/>
      <c r="I40" s="35"/>
      <c r="J40" s="42"/>
    </row>
    <row r="41" spans="1:10" x14ac:dyDescent="0.35">
      <c r="A41" s="35"/>
      <c r="H41" s="42"/>
      <c r="I41" s="35"/>
      <c r="J41" s="42"/>
    </row>
    <row r="42" spans="1:10" x14ac:dyDescent="0.35">
      <c r="A42" s="35"/>
      <c r="B42" s="65" t="s">
        <v>49</v>
      </c>
      <c r="C42" s="65"/>
      <c r="D42" s="66" t="s">
        <v>50</v>
      </c>
      <c r="E42" s="66"/>
      <c r="F42" s="67" t="s">
        <v>91</v>
      </c>
      <c r="G42" s="67"/>
      <c r="H42" s="42" t="s">
        <v>79</v>
      </c>
      <c r="I42" s="35"/>
      <c r="J42" s="42"/>
    </row>
    <row r="43" spans="1:10" x14ac:dyDescent="0.35">
      <c r="A43" s="35"/>
      <c r="B43" t="s">
        <v>66</v>
      </c>
      <c r="C43" t="s">
        <v>65</v>
      </c>
      <c r="D43" t="s">
        <v>66</v>
      </c>
      <c r="E43" t="s">
        <v>65</v>
      </c>
      <c r="F43" t="s">
        <v>66</v>
      </c>
      <c r="G43" t="s">
        <v>65</v>
      </c>
      <c r="H43" s="42" t="s">
        <v>80</v>
      </c>
      <c r="I43" s="35"/>
      <c r="J43" s="42"/>
    </row>
    <row r="44" spans="1:10" x14ac:dyDescent="0.35">
      <c r="A44" s="35" t="s">
        <v>3</v>
      </c>
      <c r="B44">
        <v>0</v>
      </c>
      <c r="C44">
        <v>0</v>
      </c>
      <c r="D44">
        <v>0</v>
      </c>
      <c r="E44">
        <v>0</v>
      </c>
      <c r="F44" s="23" t="s">
        <v>46</v>
      </c>
      <c r="G44" s="23" t="s">
        <v>46</v>
      </c>
      <c r="H44" s="42"/>
      <c r="I44" s="35">
        <v>458253</v>
      </c>
      <c r="J44" s="37">
        <f>I44/SUM($I$44:$I$70)</f>
        <v>1.5958525448170443E-2</v>
      </c>
    </row>
    <row r="45" spans="1:10" x14ac:dyDescent="0.35">
      <c r="A45" s="35" t="s">
        <v>9</v>
      </c>
      <c r="B45">
        <v>53089</v>
      </c>
      <c r="C45">
        <v>53089</v>
      </c>
      <c r="D45">
        <v>53089</v>
      </c>
      <c r="E45">
        <v>53089</v>
      </c>
      <c r="F45">
        <f>B45</f>
        <v>53089</v>
      </c>
      <c r="G45">
        <f>C45</f>
        <v>53089</v>
      </c>
      <c r="H45" s="42"/>
      <c r="I45" s="35">
        <v>152923</v>
      </c>
      <c r="J45" s="37">
        <f t="shared" ref="J45:J69" si="1">I45/SUM($I$44:$I$70)</f>
        <v>5.3254983319488769E-3</v>
      </c>
    </row>
    <row r="46" spans="1:10" x14ac:dyDescent="0.35">
      <c r="A46" s="35" t="s">
        <v>10</v>
      </c>
      <c r="B46">
        <v>20000</v>
      </c>
      <c r="C46" s="23" t="s">
        <v>46</v>
      </c>
      <c r="D46">
        <v>0</v>
      </c>
      <c r="E46">
        <v>0</v>
      </c>
      <c r="F46" s="23" t="s">
        <v>46</v>
      </c>
      <c r="G46" s="23" t="s">
        <v>46</v>
      </c>
      <c r="H46" s="42"/>
      <c r="I46" s="35">
        <v>102951</v>
      </c>
      <c r="J46" s="37">
        <f t="shared" si="1"/>
        <v>3.5852381837425951E-3</v>
      </c>
    </row>
    <row r="47" spans="1:10" x14ac:dyDescent="0.35">
      <c r="A47" s="35" t="s">
        <v>15</v>
      </c>
      <c r="B47">
        <v>4000</v>
      </c>
      <c r="C47">
        <v>30000</v>
      </c>
      <c r="D47">
        <v>0</v>
      </c>
      <c r="E47">
        <v>0</v>
      </c>
      <c r="F47" s="23" t="s">
        <v>46</v>
      </c>
      <c r="G47" s="23" t="s">
        <v>46</v>
      </c>
      <c r="H47" s="42" t="s">
        <v>86</v>
      </c>
      <c r="I47" s="35">
        <v>338389</v>
      </c>
      <c r="J47" s="37">
        <f t="shared" si="1"/>
        <v>1.1784297032165525E-2</v>
      </c>
    </row>
    <row r="48" spans="1:10" x14ac:dyDescent="0.35">
      <c r="A48" s="35" t="s">
        <v>18</v>
      </c>
      <c r="B48">
        <v>8000</v>
      </c>
      <c r="C48" s="23" t="s">
        <v>46</v>
      </c>
      <c r="D48">
        <v>0</v>
      </c>
      <c r="E48">
        <v>0</v>
      </c>
      <c r="F48" s="23" t="s">
        <v>46</v>
      </c>
      <c r="G48" s="23" t="s">
        <v>46</v>
      </c>
      <c r="H48" s="42"/>
      <c r="I48" s="35">
        <v>921776</v>
      </c>
      <c r="J48" s="37">
        <f t="shared" si="1"/>
        <v>3.2100577090630633E-2</v>
      </c>
    </row>
    <row r="49" spans="1:10" x14ac:dyDescent="0.35">
      <c r="A49" s="35" t="s">
        <v>21</v>
      </c>
      <c r="B49">
        <v>3800</v>
      </c>
      <c r="C49" s="23" t="s">
        <v>46</v>
      </c>
      <c r="D49" s="23" t="s">
        <v>46</v>
      </c>
      <c r="E49" s="23" t="s">
        <v>46</v>
      </c>
      <c r="F49" s="23" t="s">
        <v>46</v>
      </c>
      <c r="G49" s="23" t="s">
        <v>46</v>
      </c>
      <c r="H49" s="42" t="s">
        <v>87</v>
      </c>
      <c r="I49" s="35">
        <v>397702</v>
      </c>
      <c r="J49" s="37">
        <f t="shared" si="1"/>
        <v>1.384985474789752E-2</v>
      </c>
    </row>
    <row r="50" spans="1:10" x14ac:dyDescent="0.35">
      <c r="A50" s="35" t="s">
        <v>31</v>
      </c>
      <c r="B50" s="23" t="s">
        <v>46</v>
      </c>
      <c r="C50" s="23" t="s">
        <v>46</v>
      </c>
      <c r="D50">
        <v>0</v>
      </c>
      <c r="E50">
        <v>0</v>
      </c>
      <c r="F50">
        <v>0</v>
      </c>
      <c r="G50">
        <v>0</v>
      </c>
      <c r="H50" s="42"/>
      <c r="I50" s="35"/>
      <c r="J50" s="37">
        <f t="shared" si="1"/>
        <v>0</v>
      </c>
    </row>
    <row r="51" spans="1:10" x14ac:dyDescent="0.35">
      <c r="A51" s="35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2"/>
      <c r="I51" s="35">
        <v>91331</v>
      </c>
      <c r="J51" s="37">
        <f t="shared" si="1"/>
        <v>3.1805751139803882E-3</v>
      </c>
    </row>
    <row r="52" spans="1:10" x14ac:dyDescent="0.35">
      <c r="A52" s="35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2"/>
      <c r="I52" s="35">
        <v>268000</v>
      </c>
      <c r="J52" s="37">
        <f t="shared" si="1"/>
        <v>9.3330208860818789E-3</v>
      </c>
    </row>
    <row r="53" spans="1:10" x14ac:dyDescent="0.35">
      <c r="A53" s="35" t="s">
        <v>40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42"/>
      <c r="I53" s="35">
        <v>850998</v>
      </c>
      <c r="J53" s="37">
        <f t="shared" si="1"/>
        <v>2.9635754134380247E-2</v>
      </c>
    </row>
    <row r="54" spans="1:10" x14ac:dyDescent="0.35">
      <c r="A54" s="35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42"/>
      <c r="I54" s="35">
        <v>1140000</v>
      </c>
      <c r="J54" s="37">
        <f t="shared" si="1"/>
        <v>3.9700163470646796E-2</v>
      </c>
    </row>
    <row r="55" spans="1:10" x14ac:dyDescent="0.35">
      <c r="A55" s="35" t="s">
        <v>35</v>
      </c>
      <c r="B55" s="23" t="s">
        <v>46</v>
      </c>
      <c r="C55" s="23" t="s">
        <v>46</v>
      </c>
      <c r="D55" s="23" t="s">
        <v>46</v>
      </c>
      <c r="E55" s="23" t="s">
        <v>46</v>
      </c>
      <c r="F55" s="23" t="s">
        <v>46</v>
      </c>
      <c r="G55" s="23" t="s">
        <v>46</v>
      </c>
      <c r="H55" s="42"/>
      <c r="I55" s="35">
        <v>2814490</v>
      </c>
      <c r="J55" s="37">
        <f t="shared" si="1"/>
        <v>9.8013783409211144E-2</v>
      </c>
    </row>
    <row r="56" spans="1:10" x14ac:dyDescent="0.35">
      <c r="A56" s="35" t="s">
        <v>34</v>
      </c>
      <c r="B56" s="23" t="s">
        <v>46</v>
      </c>
      <c r="C56" s="23" t="s">
        <v>46</v>
      </c>
      <c r="D56" s="23" t="s">
        <v>46</v>
      </c>
      <c r="E56" s="23" t="s">
        <v>46</v>
      </c>
      <c r="F56" s="23" t="s">
        <v>46</v>
      </c>
      <c r="G56" s="23" t="s">
        <v>46</v>
      </c>
      <c r="H56" s="42"/>
      <c r="I56" s="35">
        <v>1031010</v>
      </c>
      <c r="J56" s="37">
        <f t="shared" si="1"/>
        <v>3.5904618894624173E-2</v>
      </c>
    </row>
    <row r="57" spans="1:10" x14ac:dyDescent="0.35">
      <c r="A57" s="35" t="s">
        <v>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s="42"/>
      <c r="I57" s="35">
        <v>39006</v>
      </c>
      <c r="J57" s="37">
        <f t="shared" si="1"/>
        <v>1.358372435382499E-3</v>
      </c>
    </row>
    <row r="58" spans="1:10" x14ac:dyDescent="0.35">
      <c r="A58" s="35" t="s">
        <v>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s="42"/>
      <c r="I58" s="35">
        <v>50500</v>
      </c>
      <c r="J58" s="37">
        <f t="shared" si="1"/>
        <v>1.7586475923400554E-3</v>
      </c>
    </row>
    <row r="59" spans="1:10" x14ac:dyDescent="0.35">
      <c r="A59" s="35" t="s">
        <v>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s="42"/>
      <c r="I59" s="35">
        <v>52799</v>
      </c>
      <c r="J59" s="37">
        <f t="shared" si="1"/>
        <v>1.8387095886725265E-3</v>
      </c>
    </row>
    <row r="60" spans="1:10" x14ac:dyDescent="0.35">
      <c r="A60" s="35" t="s">
        <v>73</v>
      </c>
      <c r="B60" s="23" t="s">
        <v>46</v>
      </c>
      <c r="C60" s="23" t="s">
        <v>46</v>
      </c>
      <c r="D60" s="23" t="s">
        <v>46</v>
      </c>
      <c r="E60" s="23" t="s">
        <v>46</v>
      </c>
      <c r="F60" s="23" t="s">
        <v>46</v>
      </c>
      <c r="G60" s="23" t="s">
        <v>46</v>
      </c>
      <c r="H60" s="42"/>
      <c r="I60" s="35">
        <v>4260610</v>
      </c>
      <c r="J60" s="37">
        <f t="shared" si="1"/>
        <v>0.14837448551287058</v>
      </c>
    </row>
    <row r="61" spans="1:10" x14ac:dyDescent="0.35">
      <c r="A61" s="35" t="s">
        <v>75</v>
      </c>
      <c r="B61" s="83">
        <v>0</v>
      </c>
      <c r="C61" s="83">
        <v>0</v>
      </c>
      <c r="D61" s="83">
        <v>0</v>
      </c>
      <c r="E61" s="83">
        <v>0</v>
      </c>
      <c r="F61" s="83">
        <v>0</v>
      </c>
      <c r="G61" s="83">
        <v>0</v>
      </c>
      <c r="H61" s="42" t="s">
        <v>88</v>
      </c>
      <c r="I61" s="35">
        <v>2999416</v>
      </c>
      <c r="J61" s="37">
        <f t="shared" si="1"/>
        <v>0.10445377676883644</v>
      </c>
    </row>
    <row r="62" spans="1:10" x14ac:dyDescent="0.35">
      <c r="A62" s="35" t="s">
        <v>43</v>
      </c>
      <c r="B62" s="23" t="s">
        <v>46</v>
      </c>
      <c r="C62" s="23" t="s">
        <v>46</v>
      </c>
      <c r="D62" s="23" t="s">
        <v>46</v>
      </c>
      <c r="E62" s="23" t="s">
        <v>46</v>
      </c>
      <c r="F62" s="23" t="s">
        <v>46</v>
      </c>
      <c r="G62" s="23" t="s">
        <v>46</v>
      </c>
      <c r="H62" s="42"/>
      <c r="I62" s="35">
        <v>595580</v>
      </c>
      <c r="J62" s="37">
        <f t="shared" si="1"/>
        <v>2.0740897684077032E-2</v>
      </c>
    </row>
    <row r="63" spans="1:10" x14ac:dyDescent="0.35">
      <c r="A63" s="35" t="s">
        <v>13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42"/>
      <c r="I63" s="35">
        <v>376235</v>
      </c>
      <c r="J63" s="37">
        <f t="shared" si="1"/>
        <v>1.3102272809981401E-2</v>
      </c>
    </row>
    <row r="64" spans="1:10" x14ac:dyDescent="0.35">
      <c r="A64" s="35" t="s">
        <v>76</v>
      </c>
      <c r="B64" s="23" t="s">
        <v>46</v>
      </c>
      <c r="C64" s="23" t="s">
        <v>46</v>
      </c>
      <c r="D64" s="23" t="s">
        <v>46</v>
      </c>
      <c r="E64" s="23" t="s">
        <v>46</v>
      </c>
      <c r="F64" s="23" t="s">
        <v>46</v>
      </c>
      <c r="G64" s="23" t="s">
        <v>46</v>
      </c>
      <c r="H64" s="42"/>
      <c r="I64" s="35">
        <v>596481</v>
      </c>
      <c r="J64" s="37">
        <f t="shared" si="1"/>
        <v>2.0772274743100765E-2</v>
      </c>
    </row>
    <row r="65" spans="1:10" x14ac:dyDescent="0.35">
      <c r="A65" s="35" t="s">
        <v>77</v>
      </c>
      <c r="B65" s="23" t="s">
        <v>46</v>
      </c>
      <c r="C65" s="23" t="s">
        <v>46</v>
      </c>
      <c r="D65" s="23" t="s">
        <v>46</v>
      </c>
      <c r="E65" s="23" t="s">
        <v>46</v>
      </c>
      <c r="F65" s="23" t="s">
        <v>46</v>
      </c>
      <c r="G65" s="23" t="s">
        <v>46</v>
      </c>
      <c r="H65" s="42"/>
      <c r="I65" s="35">
        <v>829416</v>
      </c>
      <c r="J65" s="37">
        <f t="shared" si="1"/>
        <v>2.8884167355412264E-2</v>
      </c>
    </row>
    <row r="66" spans="1:10" x14ac:dyDescent="0.35">
      <c r="A66" s="35" t="s">
        <v>16</v>
      </c>
      <c r="B66" s="23" t="s">
        <v>46</v>
      </c>
      <c r="C66" s="23" t="s">
        <v>46</v>
      </c>
      <c r="D66" s="23" t="s">
        <v>46</v>
      </c>
      <c r="E66" s="23" t="s">
        <v>46</v>
      </c>
      <c r="F66" s="23" t="s">
        <v>46</v>
      </c>
      <c r="G66" s="23" t="s">
        <v>46</v>
      </c>
      <c r="H66" s="42"/>
      <c r="I66" s="35">
        <v>5904396</v>
      </c>
      <c r="J66" s="37">
        <f t="shared" si="1"/>
        <v>0.20561884771529215</v>
      </c>
    </row>
    <row r="67" spans="1:10" x14ac:dyDescent="0.35">
      <c r="A67" s="35" t="s">
        <v>41</v>
      </c>
      <c r="B67">
        <v>0</v>
      </c>
      <c r="C67" s="23" t="s">
        <v>46</v>
      </c>
      <c r="D67" s="23" t="s">
        <v>46</v>
      </c>
      <c r="E67" s="23" t="s">
        <v>46</v>
      </c>
      <c r="F67" s="23" t="s">
        <v>46</v>
      </c>
      <c r="G67" s="23" t="s">
        <v>46</v>
      </c>
      <c r="H67" s="42" t="s">
        <v>84</v>
      </c>
      <c r="I67" s="35">
        <v>3862157</v>
      </c>
      <c r="J67" s="37">
        <f t="shared" si="1"/>
        <v>0.13449847741166915</v>
      </c>
    </row>
    <row r="68" spans="1:10" x14ac:dyDescent="0.35">
      <c r="A68" s="35" t="s">
        <v>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s="42"/>
      <c r="I68" s="35"/>
      <c r="J68" s="37">
        <f t="shared" si="1"/>
        <v>0</v>
      </c>
    </row>
    <row r="69" spans="1:10" x14ac:dyDescent="0.35">
      <c r="A69" s="35" t="s">
        <v>14</v>
      </c>
      <c r="B69" s="23" t="s">
        <v>46</v>
      </c>
      <c r="C69" s="23" t="s">
        <v>46</v>
      </c>
      <c r="D69" s="23" t="s">
        <v>46</v>
      </c>
      <c r="E69" s="23" t="s">
        <v>46</v>
      </c>
      <c r="F69" s="23" t="s">
        <v>46</v>
      </c>
      <c r="G69" s="23" t="s">
        <v>46</v>
      </c>
      <c r="H69" s="42"/>
      <c r="I69" s="35">
        <v>95246</v>
      </c>
      <c r="J69" s="37">
        <f t="shared" si="1"/>
        <v>3.3169138332677412E-3</v>
      </c>
    </row>
    <row r="70" spans="1:10" x14ac:dyDescent="0.35">
      <c r="A70" s="38" t="s">
        <v>78</v>
      </c>
      <c r="B70" s="43">
        <v>0</v>
      </c>
      <c r="C70" s="43">
        <v>0</v>
      </c>
      <c r="D70" s="43">
        <v>0</v>
      </c>
      <c r="E70" s="43">
        <v>0</v>
      </c>
      <c r="F70" s="43">
        <f>B70</f>
        <v>0</v>
      </c>
      <c r="G70" s="43">
        <f>C70</f>
        <v>0</v>
      </c>
      <c r="H70" s="45"/>
      <c r="I70" s="38">
        <v>485582</v>
      </c>
      <c r="J70" s="39">
        <f>I70/SUM($I$44:$I$70)</f>
        <v>1.6910249805617204E-2</v>
      </c>
    </row>
    <row r="71" spans="1:10" ht="15" thickBot="1" x14ac:dyDescent="0.4">
      <c r="A71" s="54" t="s">
        <v>48</v>
      </c>
      <c r="B71" s="55">
        <f>AVERAGE(B44:B70)</f>
        <v>4938.2777777777774</v>
      </c>
      <c r="C71" s="55">
        <f>AVERAGE(C44:C70)</f>
        <v>5934.9285714285716</v>
      </c>
      <c r="D71" s="55">
        <f>AVERAGE(D44:D70)</f>
        <v>3122.8823529411766</v>
      </c>
      <c r="E71" s="55">
        <f>AVERAGE(E44:E70)</f>
        <v>3122.8823529411766</v>
      </c>
      <c r="F71" s="55">
        <f t="shared" ref="F71:G71" si="2">AVERAGE(F44:F70)</f>
        <v>4083.7692307692309</v>
      </c>
      <c r="G71" s="56">
        <f t="shared" si="2"/>
        <v>4083.7692307692309</v>
      </c>
    </row>
    <row r="73" spans="1:10" ht="15" thickBot="1" x14ac:dyDescent="0.4"/>
    <row r="74" spans="1:10" x14ac:dyDescent="0.35">
      <c r="C74" s="32" t="s">
        <v>89</v>
      </c>
      <c r="D74" s="6" t="s">
        <v>51</v>
      </c>
      <c r="E74" s="6" t="s">
        <v>52</v>
      </c>
      <c r="F74" s="7" t="s">
        <v>100</v>
      </c>
    </row>
    <row r="75" spans="1:10" x14ac:dyDescent="0.35">
      <c r="C75" s="46" t="s">
        <v>117</v>
      </c>
      <c r="D75" s="47">
        <f>AVERAGE(B71:C71)</f>
        <v>5436.6031746031749</v>
      </c>
      <c r="E75" s="47">
        <f>AVERAGE(D71:E71)</f>
        <v>3122.8823529411766</v>
      </c>
      <c r="F75" s="48">
        <f>AVERAGE(F71:G71)</f>
        <v>4083.7692307692309</v>
      </c>
    </row>
    <row r="76" spans="1:10" ht="15" thickBot="1" x14ac:dyDescent="0.4">
      <c r="C76" s="8" t="s">
        <v>119</v>
      </c>
      <c r="D76" s="49">
        <f>(SUMPRODUCT(C44:C70,J44:J70)/(1-SUMIFS($J44:$J70,C44:C70, "?"))+SUMPRODUCT(B44:B70,J44:J70)/(1-SUMIFS($J44:$J70,B44:B70, "?")))/2</f>
        <v>2061.748411328469</v>
      </c>
      <c r="E76" s="49">
        <f>(SUMPRODUCT(E44:E70,J44:J70)/(1-SUMIFS($J44:$J70,E44:E70, "?"))+SUMPRODUCT(D44:D70,J44:J70)/(1-SUMIFS($J44:$J70,D44:D70, "?")))/2</f>
        <v>974.82878833125039</v>
      </c>
      <c r="F76" s="50">
        <f>(SUMPRODUCT(F44:F70,K44:K70)/(1-SUMIFS($J44:$J70,F44:F70, "?"))+SUMPRODUCT(G44:G70,J44:J70)/(1-SUMIFS($J44:$J70,G44:G70, "?")))/2</f>
        <v>623.85055818614103</v>
      </c>
      <c r="I76" s="34"/>
    </row>
  </sheetData>
  <mergeCells count="8">
    <mergeCell ref="A3:G3"/>
    <mergeCell ref="H3:I3"/>
    <mergeCell ref="A4:G4"/>
    <mergeCell ref="H4:I4"/>
    <mergeCell ref="A38:H39"/>
    <mergeCell ref="B42:C42"/>
    <mergeCell ref="D42:E42"/>
    <mergeCell ref="F42:G42"/>
  </mergeCells>
  <conditionalFormatting sqref="I6:I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40" r:id="rId1" xr:uid="{02FBEC75-B8DC-4151-817C-EE4618F60C5E}"/>
    <hyperlink ref="A4" r:id="rId2" xr:uid="{A6CE205A-0E58-4DD4-812C-8C5D70DE6F7B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F841-2C3E-4DB0-951E-28ACA5127C04}">
  <dimension ref="A3:X35"/>
  <sheetViews>
    <sheetView topLeftCell="A12" zoomScale="71" workbookViewId="0">
      <selection activeCell="K29" sqref="K29"/>
    </sheetView>
  </sheetViews>
  <sheetFormatPr defaultColWidth="10.81640625" defaultRowHeight="14.5" x14ac:dyDescent="0.35"/>
  <cols>
    <col min="3" max="3" width="16.54296875" bestFit="1" customWidth="1"/>
    <col min="4" max="4" width="16.1796875" bestFit="1" customWidth="1"/>
    <col min="8" max="8" width="20.453125" bestFit="1" customWidth="1"/>
    <col min="9" max="9" width="20.81640625" bestFit="1" customWidth="1"/>
    <col min="10" max="10" width="20.1796875" bestFit="1" customWidth="1"/>
  </cols>
  <sheetData>
    <row r="3" spans="1:24" x14ac:dyDescent="0.35">
      <c r="A3" s="78" t="s">
        <v>70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24" ht="15" thickBot="1" x14ac:dyDescent="0.4">
      <c r="A4" s="14" t="s">
        <v>64</v>
      </c>
    </row>
    <row r="5" spans="1:24" x14ac:dyDescent="0.35">
      <c r="B5" s="78" t="s">
        <v>51</v>
      </c>
      <c r="C5" s="78"/>
      <c r="D5" s="78"/>
      <c r="E5" s="79" t="s">
        <v>52</v>
      </c>
      <c r="F5" s="79"/>
      <c r="G5" s="79"/>
      <c r="H5" s="80" t="s">
        <v>100</v>
      </c>
      <c r="I5" s="80"/>
      <c r="J5" s="80"/>
      <c r="M5" s="15">
        <v>0</v>
      </c>
      <c r="N5" s="16" t="s">
        <v>95</v>
      </c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24" ht="15" thickBot="1" x14ac:dyDescent="0.4">
      <c r="B6" t="s">
        <v>68</v>
      </c>
      <c r="C6" t="s">
        <v>69</v>
      </c>
      <c r="D6" t="s">
        <v>67</v>
      </c>
      <c r="E6" t="s">
        <v>68</v>
      </c>
      <c r="F6" t="s">
        <v>69</v>
      </c>
      <c r="G6" t="s">
        <v>67</v>
      </c>
      <c r="H6" t="s">
        <v>92</v>
      </c>
      <c r="I6" t="s">
        <v>93</v>
      </c>
      <c r="J6" t="s">
        <v>94</v>
      </c>
      <c r="K6" t="s">
        <v>79</v>
      </c>
      <c r="M6" s="24" t="s">
        <v>46</v>
      </c>
      <c r="N6" s="19" t="s">
        <v>96</v>
      </c>
      <c r="O6" s="19"/>
      <c r="P6" s="19"/>
      <c r="Q6" s="19"/>
      <c r="R6" s="19"/>
      <c r="S6" s="19"/>
      <c r="T6" s="19"/>
      <c r="U6" s="19"/>
      <c r="V6" s="19"/>
      <c r="W6" s="19"/>
      <c r="X6" s="20"/>
    </row>
    <row r="7" spans="1:24" x14ac:dyDescent="0.35">
      <c r="A7" t="s">
        <v>3</v>
      </c>
      <c r="B7">
        <v>6000</v>
      </c>
      <c r="C7">
        <v>24000</v>
      </c>
      <c r="D7">
        <f>65000+7000</f>
        <v>72000</v>
      </c>
      <c r="E7">
        <v>0</v>
      </c>
      <c r="F7">
        <v>0</v>
      </c>
      <c r="G7">
        <v>0</v>
      </c>
      <c r="H7" s="23" t="s">
        <v>46</v>
      </c>
      <c r="I7" s="23" t="s">
        <v>46</v>
      </c>
      <c r="J7" s="23" t="s">
        <v>46</v>
      </c>
      <c r="K7" t="s">
        <v>85</v>
      </c>
    </row>
    <row r="8" spans="1:24" x14ac:dyDescent="0.35">
      <c r="A8" t="s">
        <v>6</v>
      </c>
      <c r="B8">
        <v>15000</v>
      </c>
      <c r="C8" s="23" t="s">
        <v>46</v>
      </c>
      <c r="D8" s="23" t="s">
        <v>46</v>
      </c>
      <c r="E8">
        <v>0</v>
      </c>
      <c r="F8">
        <v>0</v>
      </c>
      <c r="G8">
        <v>0</v>
      </c>
      <c r="H8">
        <f>B8</f>
        <v>15000</v>
      </c>
      <c r="I8" s="23" t="str">
        <f t="shared" ref="I8:J8" si="0">C8</f>
        <v>?</v>
      </c>
      <c r="J8" s="23" t="str">
        <f t="shared" si="0"/>
        <v>?</v>
      </c>
    </row>
    <row r="9" spans="1:24" x14ac:dyDescent="0.35">
      <c r="A9" t="s">
        <v>9</v>
      </c>
      <c r="B9">
        <v>9291</v>
      </c>
      <c r="C9" s="23" t="s">
        <v>46</v>
      </c>
      <c r="D9">
        <v>53000</v>
      </c>
      <c r="E9" s="23" t="s">
        <v>46</v>
      </c>
      <c r="F9" s="23" t="s">
        <v>46</v>
      </c>
      <c r="G9" s="23" t="s">
        <v>46</v>
      </c>
      <c r="H9">
        <f>B9</f>
        <v>9291</v>
      </c>
      <c r="I9" t="s">
        <v>46</v>
      </c>
      <c r="J9">
        <f>D9</f>
        <v>53000</v>
      </c>
    </row>
    <row r="10" spans="1:24" x14ac:dyDescent="0.35">
      <c r="A10" t="s">
        <v>10</v>
      </c>
      <c r="B10">
        <v>12000</v>
      </c>
      <c r="C10" s="23" t="s">
        <v>46</v>
      </c>
      <c r="D10">
        <v>100000</v>
      </c>
      <c r="E10">
        <v>0</v>
      </c>
      <c r="F10">
        <v>0</v>
      </c>
      <c r="G10">
        <v>0</v>
      </c>
      <c r="H10" s="23" t="s">
        <v>46</v>
      </c>
      <c r="I10" s="23" t="s">
        <v>46</v>
      </c>
      <c r="J10" s="23" t="s">
        <v>46</v>
      </c>
    </row>
    <row r="11" spans="1:24" x14ac:dyDescent="0.35">
      <c r="A11" t="s">
        <v>14</v>
      </c>
      <c r="B11">
        <v>4500</v>
      </c>
      <c r="C11" s="23" t="s">
        <v>46</v>
      </c>
      <c r="D11" s="23" t="s">
        <v>46</v>
      </c>
      <c r="E11">
        <v>0</v>
      </c>
      <c r="F11">
        <v>0</v>
      </c>
      <c r="G11">
        <v>0</v>
      </c>
      <c r="H11">
        <v>4500</v>
      </c>
      <c r="I11" s="23" t="s">
        <v>46</v>
      </c>
      <c r="J11" s="23" t="s">
        <v>46</v>
      </c>
    </row>
    <row r="12" spans="1:24" x14ac:dyDescent="0.35">
      <c r="A12" t="s">
        <v>16</v>
      </c>
      <c r="B12">
        <v>5000</v>
      </c>
      <c r="C12">
        <v>9000</v>
      </c>
      <c r="D12" t="s">
        <v>46</v>
      </c>
      <c r="E12">
        <v>0</v>
      </c>
      <c r="F12">
        <v>0</v>
      </c>
      <c r="G12">
        <v>0</v>
      </c>
      <c r="H12">
        <f>B12</f>
        <v>5000</v>
      </c>
      <c r="I12">
        <f t="shared" ref="I12:J12" si="1">C12</f>
        <v>9000</v>
      </c>
      <c r="J12" t="str">
        <f t="shared" si="1"/>
        <v>?</v>
      </c>
    </row>
    <row r="13" spans="1:24" x14ac:dyDescent="0.35">
      <c r="A13" t="s">
        <v>24</v>
      </c>
      <c r="B13">
        <v>5000</v>
      </c>
      <c r="C13">
        <v>12000</v>
      </c>
      <c r="D13" s="23" t="s">
        <v>46</v>
      </c>
      <c r="E13">
        <v>5000</v>
      </c>
      <c r="F13">
        <v>12000</v>
      </c>
      <c r="G13" t="s">
        <v>46</v>
      </c>
      <c r="H13" s="23" t="s">
        <v>46</v>
      </c>
      <c r="I13" s="23" t="s">
        <v>46</v>
      </c>
      <c r="J13" s="23" t="s">
        <v>46</v>
      </c>
    </row>
    <row r="14" spans="1:24" x14ac:dyDescent="0.35">
      <c r="A14" t="s">
        <v>31</v>
      </c>
      <c r="B14">
        <v>11000</v>
      </c>
      <c r="C14" s="23" t="s">
        <v>46</v>
      </c>
      <c r="D14">
        <v>45000</v>
      </c>
      <c r="E14">
        <v>0</v>
      </c>
      <c r="F14">
        <v>0</v>
      </c>
      <c r="G14">
        <v>0</v>
      </c>
      <c r="H14" s="23" t="s">
        <v>46</v>
      </c>
      <c r="I14" s="23" t="s">
        <v>46</v>
      </c>
      <c r="J14" s="23" t="s">
        <v>46</v>
      </c>
    </row>
    <row r="15" spans="1:24" x14ac:dyDescent="0.35">
      <c r="A15" t="s">
        <v>36</v>
      </c>
      <c r="B15">
        <v>6000</v>
      </c>
      <c r="C15">
        <v>0</v>
      </c>
      <c r="D15">
        <v>0</v>
      </c>
      <c r="E15">
        <v>0</v>
      </c>
      <c r="F15">
        <v>0</v>
      </c>
      <c r="G15">
        <v>0</v>
      </c>
      <c r="H15" s="23" t="s">
        <v>46</v>
      </c>
      <c r="I15">
        <v>0</v>
      </c>
      <c r="J15">
        <v>0</v>
      </c>
    </row>
    <row r="16" spans="1:24" x14ac:dyDescent="0.35">
      <c r="A16" t="s">
        <v>41</v>
      </c>
      <c r="B16" s="23" t="s">
        <v>46</v>
      </c>
      <c r="C16">
        <v>8000</v>
      </c>
      <c r="D16" t="s">
        <v>46</v>
      </c>
      <c r="E16">
        <v>0</v>
      </c>
      <c r="F16">
        <v>0</v>
      </c>
      <c r="G16">
        <v>0</v>
      </c>
      <c r="H16" s="23" t="s">
        <v>46</v>
      </c>
      <c r="I16" s="23" t="s">
        <v>46</v>
      </c>
      <c r="J16" s="23" t="s">
        <v>46</v>
      </c>
      <c r="K16" t="s">
        <v>84</v>
      </c>
    </row>
    <row r="17" spans="1:11" x14ac:dyDescent="0.35">
      <c r="A17" t="s">
        <v>43</v>
      </c>
      <c r="B17" s="23" t="s">
        <v>46</v>
      </c>
      <c r="C17" s="23" t="s">
        <v>46</v>
      </c>
      <c r="D17" s="23" t="s">
        <v>46</v>
      </c>
      <c r="E17" s="23" t="s">
        <v>46</v>
      </c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46</v>
      </c>
    </row>
    <row r="18" spans="1:11" x14ac:dyDescent="0.35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35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3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35">
      <c r="A21" t="s">
        <v>62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</row>
    <row r="22" spans="1:11" x14ac:dyDescent="0.35">
      <c r="A22" t="s">
        <v>34</v>
      </c>
      <c r="B22" s="23" t="s">
        <v>46</v>
      </c>
      <c r="C22" s="23" t="s">
        <v>46</v>
      </c>
      <c r="D22" s="23" t="s">
        <v>46</v>
      </c>
      <c r="E22" s="23" t="s">
        <v>46</v>
      </c>
      <c r="F22" s="23" t="s">
        <v>46</v>
      </c>
      <c r="G22" s="23" t="s">
        <v>46</v>
      </c>
      <c r="H22" s="23" t="s">
        <v>46</v>
      </c>
      <c r="I22" s="23" t="s">
        <v>46</v>
      </c>
      <c r="J22" s="23" t="s">
        <v>46</v>
      </c>
    </row>
    <row r="23" spans="1:11" x14ac:dyDescent="0.3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1" x14ac:dyDescent="0.3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1" x14ac:dyDescent="0.3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1" x14ac:dyDescent="0.35">
      <c r="A26" t="s">
        <v>21</v>
      </c>
      <c r="B26" s="23" t="s">
        <v>46</v>
      </c>
      <c r="C26" s="23" t="s">
        <v>46</v>
      </c>
      <c r="D26" s="23" t="s">
        <v>46</v>
      </c>
      <c r="E26" s="23" t="s">
        <v>46</v>
      </c>
      <c r="F26" s="23" t="s">
        <v>46</v>
      </c>
      <c r="G26" s="23" t="s">
        <v>46</v>
      </c>
      <c r="H26" s="23" t="s">
        <v>46</v>
      </c>
      <c r="I26" s="23" t="s">
        <v>46</v>
      </c>
      <c r="J26" s="23" t="s">
        <v>46</v>
      </c>
      <c r="K26" t="s">
        <v>83</v>
      </c>
    </row>
    <row r="27" spans="1:11" x14ac:dyDescent="0.3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1" x14ac:dyDescent="0.35">
      <c r="A28" t="s">
        <v>74</v>
      </c>
      <c r="B28" s="23" t="s">
        <v>46</v>
      </c>
      <c r="C28" s="23" t="s">
        <v>46</v>
      </c>
      <c r="D28" s="23" t="s">
        <v>46</v>
      </c>
      <c r="E28" s="23" t="s">
        <v>46</v>
      </c>
      <c r="F28" s="23" t="s">
        <v>46</v>
      </c>
      <c r="G28" s="23" t="s">
        <v>46</v>
      </c>
      <c r="H28" s="23" t="s">
        <v>46</v>
      </c>
      <c r="I28" s="23" t="s">
        <v>46</v>
      </c>
      <c r="J28" s="23" t="s">
        <v>46</v>
      </c>
    </row>
    <row r="29" spans="1:11" x14ac:dyDescent="0.35">
      <c r="A29" t="s">
        <v>17</v>
      </c>
      <c r="B29" s="23">
        <v>0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t="s">
        <v>88</v>
      </c>
    </row>
    <row r="30" spans="1:11" x14ac:dyDescent="0.35">
      <c r="A30" t="s">
        <v>15</v>
      </c>
      <c r="B30" s="23" t="s">
        <v>46</v>
      </c>
      <c r="C30" s="23" t="s">
        <v>46</v>
      </c>
      <c r="D30" s="23" t="s">
        <v>46</v>
      </c>
      <c r="E30" s="23" t="s">
        <v>46</v>
      </c>
      <c r="F30" s="23" t="s">
        <v>46</v>
      </c>
      <c r="G30" s="23" t="s">
        <v>46</v>
      </c>
      <c r="H30" s="23" t="s">
        <v>46</v>
      </c>
      <c r="I30" s="23" t="s">
        <v>46</v>
      </c>
      <c r="J30" s="23" t="s">
        <v>46</v>
      </c>
    </row>
    <row r="31" spans="1:11" x14ac:dyDescent="0.3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1" x14ac:dyDescent="0.35">
      <c r="A32" t="s">
        <v>76</v>
      </c>
      <c r="B32" s="23" t="s">
        <v>46</v>
      </c>
      <c r="C32" s="23" t="s">
        <v>46</v>
      </c>
      <c r="D32" s="23" t="s">
        <v>46</v>
      </c>
      <c r="E32" s="23" t="s">
        <v>46</v>
      </c>
      <c r="F32" s="23" t="s">
        <v>46</v>
      </c>
      <c r="G32" s="23" t="s">
        <v>46</v>
      </c>
      <c r="H32" s="23" t="s">
        <v>46</v>
      </c>
      <c r="I32" s="23" t="s">
        <v>46</v>
      </c>
      <c r="J32" s="23" t="s">
        <v>46</v>
      </c>
    </row>
    <row r="33" spans="1:10" ht="15" thickBot="1" x14ac:dyDescent="0.4">
      <c r="A33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28" t="s">
        <v>48</v>
      </c>
      <c r="B34" s="29">
        <f>AVERAGE(B7:B33)</f>
        <v>3883.7368421052633</v>
      </c>
      <c r="C34" s="29">
        <f t="shared" ref="C34:J34" si="2">AVERAGE(C7:C33)</f>
        <v>3533.3333333333335</v>
      </c>
      <c r="D34" s="30">
        <f>AVERAGE(D7:D33)</f>
        <v>18000</v>
      </c>
      <c r="E34" s="29">
        <f t="shared" si="2"/>
        <v>263.15789473684208</v>
      </c>
      <c r="F34" s="29">
        <f t="shared" si="2"/>
        <v>631.57894736842104</v>
      </c>
      <c r="G34" s="30">
        <f t="shared" si="2"/>
        <v>0</v>
      </c>
      <c r="H34" s="29">
        <f t="shared" si="2"/>
        <v>2413.6428571428573</v>
      </c>
      <c r="I34" s="29">
        <f t="shared" si="2"/>
        <v>750</v>
      </c>
      <c r="J34" s="31">
        <f t="shared" si="2"/>
        <v>4416.666666666667</v>
      </c>
    </row>
    <row r="35" spans="1:10" ht="15" thickBot="1" x14ac:dyDescent="0.4">
      <c r="A35" s="18"/>
      <c r="B35" s="26"/>
      <c r="C35" s="19"/>
      <c r="D35" s="25" t="s">
        <v>90</v>
      </c>
      <c r="E35" s="19"/>
      <c r="F35" s="19"/>
      <c r="G35" s="25" t="s">
        <v>90</v>
      </c>
      <c r="H35" s="26"/>
      <c r="I35" s="26"/>
      <c r="J35" s="27" t="s">
        <v>90</v>
      </c>
    </row>
  </sheetData>
  <mergeCells count="4">
    <mergeCell ref="A3:L3"/>
    <mergeCell ref="B5:D5"/>
    <mergeCell ref="E5:G5"/>
    <mergeCell ref="H5:J5"/>
  </mergeCells>
  <hyperlinks>
    <hyperlink ref="A4" r:id="rId1" xr:uid="{DD82A057-2065-4530-8FF7-697034AE54B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5541-D8E3-4C6F-AB45-59B01A22930D}">
  <dimension ref="A3:X35"/>
  <sheetViews>
    <sheetView zoomScale="71" workbookViewId="0">
      <selection activeCell="B7" sqref="B7"/>
    </sheetView>
  </sheetViews>
  <sheetFormatPr defaultColWidth="10.81640625" defaultRowHeight="14.5" x14ac:dyDescent="0.35"/>
  <cols>
    <col min="3" max="3" width="16.54296875" bestFit="1" customWidth="1"/>
    <col min="4" max="4" width="16.1796875" bestFit="1" customWidth="1"/>
    <col min="8" max="8" width="20.453125" bestFit="1" customWidth="1"/>
    <col min="9" max="9" width="20.81640625" bestFit="1" customWidth="1"/>
    <col min="10" max="10" width="20.1796875" bestFit="1" customWidth="1"/>
  </cols>
  <sheetData>
    <row r="3" spans="1:24" x14ac:dyDescent="0.35">
      <c r="A3" s="78" t="s">
        <v>70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</row>
    <row r="4" spans="1:24" ht="15" thickBot="1" x14ac:dyDescent="0.4">
      <c r="A4" s="14" t="s">
        <v>64</v>
      </c>
    </row>
    <row r="5" spans="1:24" x14ac:dyDescent="0.35">
      <c r="B5" s="78" t="s">
        <v>51</v>
      </c>
      <c r="C5" s="78"/>
      <c r="D5" s="78"/>
      <c r="E5" s="79" t="s">
        <v>52</v>
      </c>
      <c r="F5" s="79"/>
      <c r="G5" s="79"/>
      <c r="H5" s="80" t="s">
        <v>100</v>
      </c>
      <c r="I5" s="80"/>
      <c r="J5" s="80"/>
      <c r="M5" s="15">
        <v>0</v>
      </c>
      <c r="N5" s="16" t="s">
        <v>95</v>
      </c>
      <c r="O5" s="16"/>
      <c r="P5" s="16"/>
      <c r="Q5" s="16"/>
      <c r="R5" s="16"/>
      <c r="S5" s="16"/>
      <c r="T5" s="16"/>
      <c r="U5" s="16"/>
      <c r="V5" s="16"/>
      <c r="W5" s="16"/>
      <c r="X5" s="17"/>
    </row>
    <row r="6" spans="1:24" ht="15" thickBot="1" x14ac:dyDescent="0.4">
      <c r="B6" t="s">
        <v>68</v>
      </c>
      <c r="C6" t="s">
        <v>69</v>
      </c>
      <c r="D6" t="s">
        <v>67</v>
      </c>
      <c r="E6" t="s">
        <v>68</v>
      </c>
      <c r="F6" t="s">
        <v>69</v>
      </c>
      <c r="G6" t="s">
        <v>67</v>
      </c>
      <c r="H6" t="s">
        <v>92</v>
      </c>
      <c r="I6" t="s">
        <v>93</v>
      </c>
      <c r="J6" t="s">
        <v>94</v>
      </c>
      <c r="K6" t="s">
        <v>79</v>
      </c>
      <c r="M6" s="24" t="s">
        <v>46</v>
      </c>
      <c r="N6" s="19" t="s">
        <v>96</v>
      </c>
      <c r="O6" s="19"/>
      <c r="P6" s="19"/>
      <c r="Q6" s="19"/>
      <c r="R6" s="19"/>
      <c r="S6" s="19"/>
      <c r="T6" s="19"/>
      <c r="U6" s="19"/>
      <c r="V6" s="19"/>
      <c r="W6" s="19"/>
      <c r="X6" s="20"/>
    </row>
    <row r="7" spans="1:24" x14ac:dyDescent="0.3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3" t="s">
        <v>46</v>
      </c>
      <c r="I7" s="23" t="s">
        <v>46</v>
      </c>
      <c r="J7" s="23" t="s">
        <v>46</v>
      </c>
      <c r="K7" t="s">
        <v>85</v>
      </c>
    </row>
    <row r="8" spans="1:24" x14ac:dyDescent="0.35">
      <c r="A8" t="s">
        <v>6</v>
      </c>
      <c r="B8">
        <v>15000</v>
      </c>
      <c r="C8" s="23" t="s">
        <v>46</v>
      </c>
      <c r="D8" s="23" t="s">
        <v>46</v>
      </c>
      <c r="E8">
        <v>0</v>
      </c>
      <c r="F8">
        <v>0</v>
      </c>
      <c r="G8">
        <v>0</v>
      </c>
      <c r="H8">
        <f>B8</f>
        <v>15000</v>
      </c>
      <c r="I8" s="23" t="str">
        <f t="shared" ref="I8:J8" si="0">C8</f>
        <v>?</v>
      </c>
      <c r="J8" s="23" t="str">
        <f t="shared" si="0"/>
        <v>?</v>
      </c>
    </row>
    <row r="9" spans="1:24" x14ac:dyDescent="0.35">
      <c r="A9" t="s">
        <v>9</v>
      </c>
      <c r="B9">
        <v>9291</v>
      </c>
      <c r="C9" s="23" t="s">
        <v>46</v>
      </c>
      <c r="D9">
        <v>53000</v>
      </c>
      <c r="E9" s="23" t="s">
        <v>46</v>
      </c>
      <c r="F9" s="23" t="s">
        <v>46</v>
      </c>
      <c r="G9" s="23" t="s">
        <v>46</v>
      </c>
      <c r="H9">
        <f>B9</f>
        <v>9291</v>
      </c>
      <c r="I9" t="s">
        <v>46</v>
      </c>
      <c r="J9">
        <f>D9</f>
        <v>53000</v>
      </c>
    </row>
    <row r="10" spans="1:24" x14ac:dyDescent="0.35">
      <c r="A10" t="s">
        <v>10</v>
      </c>
      <c r="B10">
        <v>12000</v>
      </c>
      <c r="C10" s="23" t="s">
        <v>46</v>
      </c>
      <c r="D10">
        <v>100000</v>
      </c>
      <c r="E10">
        <v>0</v>
      </c>
      <c r="F10">
        <v>0</v>
      </c>
      <c r="G10">
        <v>0</v>
      </c>
      <c r="H10" s="23" t="s">
        <v>46</v>
      </c>
      <c r="I10" s="23" t="s">
        <v>46</v>
      </c>
      <c r="J10" s="23" t="s">
        <v>46</v>
      </c>
    </row>
    <row r="11" spans="1:24" x14ac:dyDescent="0.35">
      <c r="A11" t="s">
        <v>14</v>
      </c>
      <c r="B11">
        <v>4500</v>
      </c>
      <c r="C11" s="23" t="s">
        <v>46</v>
      </c>
      <c r="D11" s="23" t="s">
        <v>46</v>
      </c>
      <c r="E11">
        <v>0</v>
      </c>
      <c r="F11">
        <v>0</v>
      </c>
      <c r="G11">
        <v>0</v>
      </c>
      <c r="H11">
        <v>4500</v>
      </c>
      <c r="I11" s="23" t="s">
        <v>46</v>
      </c>
      <c r="J11" s="23" t="s">
        <v>46</v>
      </c>
    </row>
    <row r="12" spans="1:24" x14ac:dyDescent="0.35">
      <c r="A12" t="s">
        <v>16</v>
      </c>
      <c r="B12">
        <v>5000</v>
      </c>
      <c r="C12">
        <v>9000</v>
      </c>
      <c r="D12" t="s">
        <v>46</v>
      </c>
      <c r="E12">
        <v>0</v>
      </c>
      <c r="F12">
        <v>0</v>
      </c>
      <c r="G12">
        <v>0</v>
      </c>
      <c r="H12">
        <f>B12</f>
        <v>5000</v>
      </c>
      <c r="I12">
        <f t="shared" ref="I12:J12" si="1">C12</f>
        <v>9000</v>
      </c>
      <c r="J12" t="str">
        <f t="shared" si="1"/>
        <v>?</v>
      </c>
    </row>
    <row r="13" spans="1:24" x14ac:dyDescent="0.35">
      <c r="A13" t="s">
        <v>24</v>
      </c>
      <c r="B13">
        <v>5000</v>
      </c>
      <c r="C13">
        <v>12000</v>
      </c>
      <c r="D13" s="23" t="s">
        <v>46</v>
      </c>
      <c r="E13">
        <v>5000</v>
      </c>
      <c r="F13">
        <v>12000</v>
      </c>
      <c r="G13" t="s">
        <v>46</v>
      </c>
      <c r="H13" s="23" t="s">
        <v>46</v>
      </c>
      <c r="I13" s="23" t="s">
        <v>46</v>
      </c>
      <c r="J13" s="23" t="s">
        <v>46</v>
      </c>
    </row>
    <row r="14" spans="1:24" x14ac:dyDescent="0.35">
      <c r="A14" t="s">
        <v>31</v>
      </c>
      <c r="B14">
        <v>11000</v>
      </c>
      <c r="C14" s="23" t="s">
        <v>46</v>
      </c>
      <c r="D14">
        <v>45000</v>
      </c>
      <c r="E14">
        <v>0</v>
      </c>
      <c r="F14">
        <v>0</v>
      </c>
      <c r="G14">
        <v>0</v>
      </c>
      <c r="H14" s="23" t="s">
        <v>46</v>
      </c>
      <c r="I14" s="23" t="s">
        <v>46</v>
      </c>
      <c r="J14" s="23" t="s">
        <v>46</v>
      </c>
    </row>
    <row r="15" spans="1:24" x14ac:dyDescent="0.35">
      <c r="A15" t="s">
        <v>36</v>
      </c>
      <c r="B15">
        <v>6000</v>
      </c>
      <c r="C15">
        <v>0</v>
      </c>
      <c r="D15">
        <v>0</v>
      </c>
      <c r="E15">
        <v>0</v>
      </c>
      <c r="F15">
        <v>0</v>
      </c>
      <c r="G15">
        <v>0</v>
      </c>
      <c r="H15" s="23" t="s">
        <v>46</v>
      </c>
      <c r="I15">
        <v>0</v>
      </c>
      <c r="J15">
        <v>0</v>
      </c>
    </row>
    <row r="16" spans="1:24" x14ac:dyDescent="0.35">
      <c r="A16" t="s">
        <v>41</v>
      </c>
      <c r="B16" s="23" t="s">
        <v>46</v>
      </c>
      <c r="C16">
        <v>0</v>
      </c>
      <c r="D16" t="s">
        <v>46</v>
      </c>
      <c r="E16">
        <v>0</v>
      </c>
      <c r="F16">
        <v>0</v>
      </c>
      <c r="G16">
        <v>0</v>
      </c>
      <c r="H16" s="23" t="s">
        <v>46</v>
      </c>
      <c r="I16" s="23" t="s">
        <v>46</v>
      </c>
      <c r="J16" s="23" t="s">
        <v>46</v>
      </c>
      <c r="K16" t="s">
        <v>84</v>
      </c>
    </row>
    <row r="17" spans="1:11" x14ac:dyDescent="0.35">
      <c r="A17" t="s">
        <v>43</v>
      </c>
      <c r="B17" s="23" t="s">
        <v>46</v>
      </c>
      <c r="C17" s="23" t="s">
        <v>46</v>
      </c>
      <c r="D17" s="23" t="s">
        <v>46</v>
      </c>
      <c r="E17" s="23" t="s">
        <v>46</v>
      </c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46</v>
      </c>
    </row>
    <row r="18" spans="1:11" x14ac:dyDescent="0.35">
      <c r="A18" t="s">
        <v>71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1" x14ac:dyDescent="0.35">
      <c r="A19" t="s">
        <v>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1" x14ac:dyDescent="0.3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1" x14ac:dyDescent="0.35">
      <c r="A21" t="s">
        <v>62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</row>
    <row r="22" spans="1:11" x14ac:dyDescent="0.35">
      <c r="A22" t="s">
        <v>34</v>
      </c>
      <c r="B22" s="23" t="s">
        <v>46</v>
      </c>
      <c r="C22" s="23" t="s">
        <v>46</v>
      </c>
      <c r="D22" s="23" t="s">
        <v>46</v>
      </c>
      <c r="E22" s="23" t="s">
        <v>46</v>
      </c>
      <c r="F22" s="23" t="s">
        <v>46</v>
      </c>
      <c r="G22" s="23" t="s">
        <v>46</v>
      </c>
      <c r="H22" s="23" t="s">
        <v>46</v>
      </c>
      <c r="I22" s="23" t="s">
        <v>46</v>
      </c>
      <c r="J22" s="23" t="s">
        <v>46</v>
      </c>
    </row>
    <row r="23" spans="1:11" x14ac:dyDescent="0.3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1" x14ac:dyDescent="0.3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1" x14ac:dyDescent="0.3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1" x14ac:dyDescent="0.35">
      <c r="A26" t="s">
        <v>21</v>
      </c>
      <c r="B26" s="23" t="s">
        <v>46</v>
      </c>
      <c r="C26" s="23" t="s">
        <v>46</v>
      </c>
      <c r="D26" s="23" t="s">
        <v>46</v>
      </c>
      <c r="E26" s="23" t="s">
        <v>46</v>
      </c>
      <c r="F26" s="23" t="s">
        <v>46</v>
      </c>
      <c r="G26" s="23" t="s">
        <v>46</v>
      </c>
      <c r="H26" s="23" t="s">
        <v>46</v>
      </c>
      <c r="I26" s="23" t="s">
        <v>46</v>
      </c>
      <c r="J26" s="23" t="s">
        <v>46</v>
      </c>
      <c r="K26" t="s">
        <v>83</v>
      </c>
    </row>
    <row r="27" spans="1:11" x14ac:dyDescent="0.35">
      <c r="A27" t="s">
        <v>20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1" x14ac:dyDescent="0.35">
      <c r="A28" t="s">
        <v>74</v>
      </c>
      <c r="B28" s="23" t="s">
        <v>46</v>
      </c>
      <c r="C28" s="23" t="s">
        <v>46</v>
      </c>
      <c r="D28" s="23" t="s">
        <v>46</v>
      </c>
      <c r="E28" s="23" t="s">
        <v>46</v>
      </c>
      <c r="F28" s="23" t="s">
        <v>46</v>
      </c>
      <c r="G28" s="23" t="s">
        <v>46</v>
      </c>
      <c r="H28" s="23" t="s">
        <v>46</v>
      </c>
      <c r="I28" s="23" t="s">
        <v>46</v>
      </c>
      <c r="J28" s="23" t="s">
        <v>46</v>
      </c>
    </row>
    <row r="29" spans="1:11" x14ac:dyDescent="0.35">
      <c r="A29" t="s">
        <v>17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t="s">
        <v>88</v>
      </c>
    </row>
    <row r="30" spans="1:11" x14ac:dyDescent="0.35">
      <c r="A30" t="s">
        <v>15</v>
      </c>
      <c r="B30" s="23" t="s">
        <v>46</v>
      </c>
      <c r="C30" s="23" t="s">
        <v>46</v>
      </c>
      <c r="D30" s="23" t="s">
        <v>46</v>
      </c>
      <c r="E30" s="23" t="s">
        <v>46</v>
      </c>
      <c r="F30" s="23" t="s">
        <v>46</v>
      </c>
      <c r="G30" s="23" t="s">
        <v>46</v>
      </c>
      <c r="H30" s="23" t="s">
        <v>46</v>
      </c>
      <c r="I30" s="23" t="s">
        <v>46</v>
      </c>
      <c r="J30" s="23" t="s">
        <v>46</v>
      </c>
    </row>
    <row r="31" spans="1:11" x14ac:dyDescent="0.35">
      <c r="A31" t="s">
        <v>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1" x14ac:dyDescent="0.35">
      <c r="A32" t="s">
        <v>76</v>
      </c>
      <c r="B32" s="23" t="s">
        <v>46</v>
      </c>
      <c r="C32" s="23" t="s">
        <v>46</v>
      </c>
      <c r="D32" s="23" t="s">
        <v>46</v>
      </c>
      <c r="E32" s="23" t="s">
        <v>46</v>
      </c>
      <c r="F32" s="23" t="s">
        <v>46</v>
      </c>
      <c r="G32" s="23" t="s">
        <v>46</v>
      </c>
      <c r="H32" s="23" t="s">
        <v>46</v>
      </c>
      <c r="I32" s="23" t="s">
        <v>46</v>
      </c>
      <c r="J32" s="23" t="s">
        <v>46</v>
      </c>
    </row>
    <row r="33" spans="1:10" ht="15" thickBot="1" x14ac:dyDescent="0.4">
      <c r="A33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28" t="s">
        <v>48</v>
      </c>
      <c r="B34" s="29">
        <f>AVERAGE(B7:B33)</f>
        <v>3567.9473684210525</v>
      </c>
      <c r="C34" s="29">
        <f t="shared" ref="C34:J34" si="2">AVERAGE(C7:C33)</f>
        <v>1400</v>
      </c>
      <c r="D34" s="30">
        <f>AVERAGE(D7:D33)</f>
        <v>13200</v>
      </c>
      <c r="E34" s="29">
        <f t="shared" si="2"/>
        <v>263.15789473684208</v>
      </c>
      <c r="F34" s="29">
        <f t="shared" si="2"/>
        <v>631.57894736842104</v>
      </c>
      <c r="G34" s="30">
        <f t="shared" si="2"/>
        <v>0</v>
      </c>
      <c r="H34" s="29">
        <f t="shared" si="2"/>
        <v>2413.6428571428573</v>
      </c>
      <c r="I34" s="29">
        <f t="shared" si="2"/>
        <v>750</v>
      </c>
      <c r="J34" s="31">
        <f t="shared" si="2"/>
        <v>4416.666666666667</v>
      </c>
    </row>
    <row r="35" spans="1:10" ht="15" thickBot="1" x14ac:dyDescent="0.4">
      <c r="A35" s="18"/>
      <c r="B35" s="26"/>
      <c r="C35" s="19"/>
      <c r="D35" s="25" t="s">
        <v>90</v>
      </c>
      <c r="E35" s="19"/>
      <c r="F35" s="19"/>
      <c r="G35" s="25" t="s">
        <v>90</v>
      </c>
      <c r="H35" s="26"/>
      <c r="I35" s="26"/>
      <c r="J35" s="27" t="s">
        <v>90</v>
      </c>
    </row>
  </sheetData>
  <mergeCells count="4">
    <mergeCell ref="A3:L3"/>
    <mergeCell ref="B5:D5"/>
    <mergeCell ref="E5:G5"/>
    <mergeCell ref="H5:J5"/>
  </mergeCells>
  <hyperlinks>
    <hyperlink ref="A4" r:id="rId1" xr:uid="{E6C1A430-8E70-411D-8105-E7CBFB37F08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6C96-323D-4BC4-B0DA-BEA8574A0FE5}">
  <sheetPr>
    <tabColor rgb="FFFF0000"/>
  </sheetPr>
  <dimension ref="A1"/>
  <sheetViews>
    <sheetView workbookViewId="0">
      <selection activeCell="E35" sqref="E35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8537-0992-4C70-8440-DDA97F059478}">
  <sheetPr>
    <tabColor theme="4"/>
  </sheetPr>
  <dimension ref="A1:AF9"/>
  <sheetViews>
    <sheetView workbookViewId="0">
      <selection activeCell="F19" sqref="F19"/>
    </sheetView>
  </sheetViews>
  <sheetFormatPr defaultColWidth="10.81640625" defaultRowHeight="14.5" x14ac:dyDescent="0.35"/>
  <cols>
    <col min="1" max="1" width="22.453125" customWidth="1"/>
    <col min="2" max="2" width="12.1796875" bestFit="1" customWidth="1"/>
  </cols>
  <sheetData>
    <row r="1" spans="1:32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58">
        <f>'Passenger '!$D$34*About!$B$20*About!$B$22</f>
        <v>3693.1911160871978</v>
      </c>
      <c r="C2" s="58">
        <f>'Passenger '!$D$34*About!$B$20*About!$B$22</f>
        <v>3693.1911160871978</v>
      </c>
      <c r="D2" s="58">
        <f>'Passenger '!$D$34*About!$B$20*About!$B$22</f>
        <v>3693.1911160871978</v>
      </c>
      <c r="E2" s="58">
        <f>($K2-$D2)/($K$1-$D$1)*(E$1-$D$1)+$D2</f>
        <v>3165.5923852175983</v>
      </c>
      <c r="F2" s="58">
        <f t="shared" ref="E2:J5" si="0">($K2-$D2)/($K$1-$D$1)*(F$1-$D$1)+$D2</f>
        <v>2637.9936543479985</v>
      </c>
      <c r="G2" s="58">
        <f t="shared" si="0"/>
        <v>2110.3949234783986</v>
      </c>
      <c r="H2" s="58">
        <f t="shared" si="0"/>
        <v>1582.7961926087992</v>
      </c>
      <c r="I2" s="58">
        <f t="shared" si="0"/>
        <v>1055.1974617391998</v>
      </c>
      <c r="J2" s="58">
        <f t="shared" si="0"/>
        <v>527.59873086959988</v>
      </c>
      <c r="K2" s="58">
        <v>0</v>
      </c>
      <c r="L2" s="58">
        <v>0</v>
      </c>
      <c r="M2" s="58">
        <v>0</v>
      </c>
      <c r="N2" s="58">
        <v>0</v>
      </c>
      <c r="O2" s="58">
        <v>0</v>
      </c>
      <c r="P2" s="58">
        <v>0</v>
      </c>
      <c r="Q2" s="58">
        <v>0</v>
      </c>
      <c r="R2" s="58">
        <v>0</v>
      </c>
      <c r="S2" s="58">
        <v>0</v>
      </c>
      <c r="T2" s="58">
        <v>0</v>
      </c>
      <c r="U2" s="58">
        <v>0</v>
      </c>
      <c r="V2" s="58">
        <v>0</v>
      </c>
      <c r="W2" s="58">
        <v>0</v>
      </c>
      <c r="X2" s="58">
        <v>0</v>
      </c>
      <c r="Y2" s="58">
        <v>0</v>
      </c>
      <c r="Z2" s="58">
        <v>0</v>
      </c>
      <c r="AA2" s="58">
        <v>0</v>
      </c>
      <c r="AB2" s="58">
        <v>0</v>
      </c>
      <c r="AC2" s="58">
        <v>0</v>
      </c>
      <c r="AD2" s="58">
        <v>0</v>
      </c>
      <c r="AE2" s="58">
        <v>0</v>
      </c>
      <c r="AF2" s="10"/>
    </row>
    <row r="3" spans="1:32" x14ac:dyDescent="0.35">
      <c r="A3" s="10" t="s">
        <v>55</v>
      </c>
      <c r="B3" s="58">
        <v>0</v>
      </c>
      <c r="C3" s="58">
        <v>0</v>
      </c>
      <c r="D3" s="58">
        <v>0</v>
      </c>
      <c r="E3" s="58">
        <f t="shared" si="0"/>
        <v>0</v>
      </c>
      <c r="F3" s="58">
        <f t="shared" si="0"/>
        <v>0</v>
      </c>
      <c r="G3" s="58">
        <f t="shared" si="0"/>
        <v>0</v>
      </c>
      <c r="H3" s="58">
        <f t="shared" si="0"/>
        <v>0</v>
      </c>
      <c r="I3" s="58">
        <f t="shared" si="0"/>
        <v>0</v>
      </c>
      <c r="J3" s="58">
        <f t="shared" si="0"/>
        <v>0</v>
      </c>
      <c r="K3" s="58">
        <v>0</v>
      </c>
      <c r="L3" s="58">
        <v>0</v>
      </c>
      <c r="M3" s="58">
        <v>0</v>
      </c>
      <c r="N3" s="58">
        <v>0</v>
      </c>
      <c r="O3" s="58">
        <v>0</v>
      </c>
      <c r="P3" s="58">
        <v>0</v>
      </c>
      <c r="Q3" s="58">
        <v>0</v>
      </c>
      <c r="R3" s="58">
        <v>0</v>
      </c>
      <c r="S3" s="58">
        <v>0</v>
      </c>
      <c r="T3" s="58">
        <v>0</v>
      </c>
      <c r="U3" s="58">
        <v>0</v>
      </c>
      <c r="V3" s="58">
        <v>0</v>
      </c>
      <c r="W3" s="58">
        <v>0</v>
      </c>
      <c r="X3" s="58">
        <v>0</v>
      </c>
      <c r="Y3" s="58">
        <v>0</v>
      </c>
      <c r="Z3" s="58">
        <v>0</v>
      </c>
      <c r="AA3" s="58">
        <v>0</v>
      </c>
      <c r="AB3" s="58">
        <v>0</v>
      </c>
      <c r="AC3" s="58">
        <v>0</v>
      </c>
      <c r="AD3" s="58">
        <v>0</v>
      </c>
      <c r="AE3" s="58">
        <v>0</v>
      </c>
      <c r="AF3" s="10"/>
    </row>
    <row r="4" spans="1:32" x14ac:dyDescent="0.35">
      <c r="A4" s="10" t="s">
        <v>56</v>
      </c>
      <c r="B4" s="58">
        <v>0</v>
      </c>
      <c r="C4" s="58">
        <v>0</v>
      </c>
      <c r="D4" s="58">
        <v>0</v>
      </c>
      <c r="E4" s="58">
        <f t="shared" si="0"/>
        <v>0</v>
      </c>
      <c r="F4" s="58">
        <f t="shared" si="0"/>
        <v>0</v>
      </c>
      <c r="G4" s="58">
        <f t="shared" si="0"/>
        <v>0</v>
      </c>
      <c r="H4" s="58">
        <f t="shared" si="0"/>
        <v>0</v>
      </c>
      <c r="I4" s="58">
        <f t="shared" si="0"/>
        <v>0</v>
      </c>
      <c r="J4" s="58">
        <f t="shared" si="0"/>
        <v>0</v>
      </c>
      <c r="K4" s="58">
        <v>0</v>
      </c>
      <c r="L4" s="58">
        <v>0</v>
      </c>
      <c r="M4" s="58">
        <v>0</v>
      </c>
      <c r="N4" s="58">
        <v>0</v>
      </c>
      <c r="O4" s="58">
        <v>0</v>
      </c>
      <c r="P4" s="58">
        <v>0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0</v>
      </c>
      <c r="X4" s="58">
        <v>0</v>
      </c>
      <c r="Y4" s="58">
        <v>0</v>
      </c>
      <c r="Z4" s="58">
        <v>0</v>
      </c>
      <c r="AA4" s="58">
        <v>0</v>
      </c>
      <c r="AB4" s="58">
        <v>0</v>
      </c>
      <c r="AC4" s="58">
        <v>0</v>
      </c>
      <c r="AD4" s="58">
        <v>0</v>
      </c>
      <c r="AE4" s="58">
        <v>0</v>
      </c>
      <c r="AF4" s="10"/>
    </row>
    <row r="5" spans="1:32" x14ac:dyDescent="0.35">
      <c r="A5" s="10" t="s">
        <v>57</v>
      </c>
      <c r="B5" s="58">
        <v>0</v>
      </c>
      <c r="C5" s="58">
        <v>0</v>
      </c>
      <c r="D5" s="58"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0</v>
      </c>
      <c r="X5" s="58">
        <v>0</v>
      </c>
      <c r="Y5" s="58">
        <v>0</v>
      </c>
      <c r="Z5" s="58">
        <v>0</v>
      </c>
      <c r="AA5" s="58">
        <v>0</v>
      </c>
      <c r="AB5" s="58">
        <v>0</v>
      </c>
      <c r="AC5" s="58">
        <v>0</v>
      </c>
      <c r="AD5" s="58">
        <v>0</v>
      </c>
      <c r="AE5" s="58">
        <v>0</v>
      </c>
      <c r="AF5" s="10"/>
    </row>
    <row r="6" spans="1:32" x14ac:dyDescent="0.35">
      <c r="A6" s="10" t="s">
        <v>58</v>
      </c>
      <c r="B6" s="58">
        <f>'Passenger '!$E$34*About!$B$20*About!$B$22</f>
        <v>900.25489774781045</v>
      </c>
      <c r="C6" s="58">
        <f>'Passenger '!$E$34*About!$B$20*About!$B$22</f>
        <v>900.25489774781045</v>
      </c>
      <c r="D6" s="58">
        <f>'Passenger '!$E$34*About!$B$20*About!$B$22</f>
        <v>900.25489774781045</v>
      </c>
      <c r="E6" s="58">
        <f>($K6-$D6)/($K$1-$D$1)*(E$1-$D$1)+$D6</f>
        <v>771.64705521240899</v>
      </c>
      <c r="F6" s="58">
        <f t="shared" ref="F6:J8" si="1">($K6-$D6)/($K$1-$D$1)*(F$1-$D$1)+$D6</f>
        <v>643.03921267700753</v>
      </c>
      <c r="G6" s="58">
        <f t="shared" si="1"/>
        <v>514.43137014160595</v>
      </c>
      <c r="H6" s="58">
        <f t="shared" si="1"/>
        <v>385.82352760620449</v>
      </c>
      <c r="I6" s="58">
        <f t="shared" si="1"/>
        <v>257.21568507080303</v>
      </c>
      <c r="J6" s="58">
        <f t="shared" si="1"/>
        <v>128.60784253540146</v>
      </c>
      <c r="K6" s="58">
        <v>0</v>
      </c>
      <c r="L6" s="58">
        <v>0</v>
      </c>
      <c r="M6" s="58">
        <v>0</v>
      </c>
      <c r="N6" s="58">
        <v>0</v>
      </c>
      <c r="O6" s="58">
        <v>0</v>
      </c>
      <c r="P6" s="58">
        <v>0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0</v>
      </c>
      <c r="X6" s="58">
        <v>0</v>
      </c>
      <c r="Y6" s="58">
        <v>0</v>
      </c>
      <c r="Z6" s="58">
        <v>0</v>
      </c>
      <c r="AA6" s="58">
        <v>0</v>
      </c>
      <c r="AB6" s="58">
        <v>0</v>
      </c>
      <c r="AC6" s="58">
        <v>0</v>
      </c>
      <c r="AD6" s="58">
        <v>0</v>
      </c>
      <c r="AE6" s="58">
        <v>0</v>
      </c>
      <c r="AF6" s="10"/>
    </row>
    <row r="7" spans="1:32" x14ac:dyDescent="0.35">
      <c r="A7" s="10" t="s">
        <v>59</v>
      </c>
      <c r="B7" s="58">
        <v>0</v>
      </c>
      <c r="C7" s="58">
        <v>0</v>
      </c>
      <c r="D7" s="58">
        <v>0</v>
      </c>
      <c r="E7" s="58">
        <f t="shared" ref="E7" si="2">($K7-$D7)/($K$1-$D$1)*(E$1-$D$1)+$D7</f>
        <v>0</v>
      </c>
      <c r="F7" s="58">
        <f t="shared" si="1"/>
        <v>0</v>
      </c>
      <c r="G7" s="58">
        <f t="shared" si="1"/>
        <v>0</v>
      </c>
      <c r="H7" s="58">
        <f t="shared" si="1"/>
        <v>0</v>
      </c>
      <c r="I7" s="58">
        <f t="shared" si="1"/>
        <v>0</v>
      </c>
      <c r="J7" s="58">
        <f t="shared" si="1"/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0</v>
      </c>
      <c r="X7" s="58">
        <v>0</v>
      </c>
      <c r="Y7" s="58">
        <v>0</v>
      </c>
      <c r="Z7" s="58">
        <v>0</v>
      </c>
      <c r="AA7" s="58">
        <v>0</v>
      </c>
      <c r="AB7" s="58">
        <v>0</v>
      </c>
      <c r="AC7" s="58">
        <v>0</v>
      </c>
      <c r="AD7" s="58">
        <v>0</v>
      </c>
      <c r="AE7" s="58">
        <v>0</v>
      </c>
      <c r="AF7" s="10"/>
    </row>
    <row r="8" spans="1:32" x14ac:dyDescent="0.35">
      <c r="A8" s="10" t="s">
        <v>60</v>
      </c>
      <c r="B8" s="58">
        <f>'Passenger '!$F$34*About!$B$20*About!$B$22</f>
        <v>4023.1937583043996</v>
      </c>
      <c r="C8" s="58">
        <f>'Passenger '!$F$34*About!$B$20*About!$B$22</f>
        <v>4023.1937583043996</v>
      </c>
      <c r="D8" s="58">
        <f>'Passenger '!$F$34*About!$B$20*About!$B$22</f>
        <v>4023.1937583043996</v>
      </c>
      <c r="E8" s="58">
        <f>($K8-$D8)/($K$1-$D$1)*(E$1-$D$1)+$D8</f>
        <v>3448.4517928323426</v>
      </c>
      <c r="F8" s="58">
        <f t="shared" si="1"/>
        <v>2873.7098273602851</v>
      </c>
      <c r="G8" s="58">
        <f t="shared" si="1"/>
        <v>2298.9678618882281</v>
      </c>
      <c r="H8" s="58">
        <f t="shared" si="1"/>
        <v>1724.2258964161711</v>
      </c>
      <c r="I8" s="58">
        <f t="shared" si="1"/>
        <v>1149.483930944114</v>
      </c>
      <c r="J8" s="58">
        <f t="shared" si="1"/>
        <v>574.74196547205656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58">
        <v>0</v>
      </c>
      <c r="AC8" s="58">
        <v>0</v>
      </c>
      <c r="AD8" s="58">
        <v>0</v>
      </c>
      <c r="AE8" s="58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42D8-0F84-4B3E-8C28-2DE7195EEB21}">
  <sheetPr>
    <tabColor theme="4"/>
  </sheetPr>
  <dimension ref="A1:AF9"/>
  <sheetViews>
    <sheetView workbookViewId="0">
      <selection activeCell="E2" sqref="E2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f>'Passenger '!$D$74*About!$B$22*About!$B$20</f>
        <v>6449.2628402675991</v>
      </c>
      <c r="C2" s="13">
        <f>'Passenger '!$D$74*About!$B$22*About!$B$20</f>
        <v>6449.2628402675991</v>
      </c>
      <c r="D2" s="13">
        <f>'Passenger '!$D$74*About!$B$22*About!$B$20</f>
        <v>6449.2628402675991</v>
      </c>
      <c r="E2" s="13">
        <f>'Passenger NEW'!$D$76*About!$B$22*About!$B$20</f>
        <v>1753.491335745231</v>
      </c>
      <c r="F2" s="13">
        <f>($K2-$E2)/($K$1-$E$1)*(F$1-$E$1)+$E2</f>
        <v>1461.2427797876926</v>
      </c>
      <c r="G2" s="13">
        <f t="shared" ref="G2:J2" si="0">($K2-$E2)/($K$1-$E$1)*(G$1-$E$1)+$E2</f>
        <v>1168.9942238301542</v>
      </c>
      <c r="H2" s="13">
        <f t="shared" si="0"/>
        <v>876.74566787261551</v>
      </c>
      <c r="I2" s="13">
        <f t="shared" si="0"/>
        <v>584.49711191507708</v>
      </c>
      <c r="J2" s="13">
        <f t="shared" si="0"/>
        <v>292.24855595753866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0">
        <v>0</v>
      </c>
      <c r="C3" s="10">
        <v>0</v>
      </c>
      <c r="D3" s="10">
        <v>0</v>
      </c>
      <c r="E3" s="13">
        <f t="shared" ref="E3:J8" si="1">($K3-$D3)/($K$1-$D$1)*(E$1-$D$1)+$D3</f>
        <v>0</v>
      </c>
      <c r="F3" s="13">
        <f t="shared" si="1"/>
        <v>0</v>
      </c>
      <c r="G3" s="13">
        <f t="shared" si="1"/>
        <v>0</v>
      </c>
      <c r="H3" s="13">
        <f t="shared" si="1"/>
        <v>0</v>
      </c>
      <c r="I3" s="13">
        <f t="shared" si="1"/>
        <v>0</v>
      </c>
      <c r="J3" s="13">
        <f t="shared" si="1"/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0">
        <v>0</v>
      </c>
      <c r="C4" s="10">
        <v>0</v>
      </c>
      <c r="D4" s="10">
        <v>0</v>
      </c>
      <c r="E4" s="13">
        <f t="shared" si="1"/>
        <v>0</v>
      </c>
      <c r="F4" s="13">
        <f t="shared" si="1"/>
        <v>0</v>
      </c>
      <c r="G4" s="13">
        <f t="shared" si="1"/>
        <v>0</v>
      </c>
      <c r="H4" s="13">
        <f t="shared" si="1"/>
        <v>0</v>
      </c>
      <c r="I4" s="13">
        <f t="shared" si="1"/>
        <v>0</v>
      </c>
      <c r="J4" s="13">
        <f t="shared" si="1"/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0">
        <v>0</v>
      </c>
      <c r="C5" s="10">
        <v>0</v>
      </c>
      <c r="D5" s="10">
        <v>0</v>
      </c>
      <c r="E5" s="13">
        <f t="shared" si="1"/>
        <v>0</v>
      </c>
      <c r="F5" s="13">
        <f t="shared" si="1"/>
        <v>0</v>
      </c>
      <c r="G5" s="13">
        <f t="shared" si="1"/>
        <v>0</v>
      </c>
      <c r="H5" s="13">
        <f t="shared" si="1"/>
        <v>0</v>
      </c>
      <c r="I5" s="13">
        <f t="shared" si="1"/>
        <v>0</v>
      </c>
      <c r="J5" s="13">
        <f t="shared" si="1"/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f>'Passenger '!$E$74*About!$B$22*About!$B$20</f>
        <v>1295.7479630284097</v>
      </c>
      <c r="C6" s="13">
        <f>'Passenger '!$E$74*About!$B$22*About!$B$20</f>
        <v>1295.7479630284097</v>
      </c>
      <c r="D6" s="13">
        <f>'Passenger '!$E$74*About!$B$22*About!$B$20</f>
        <v>1295.7479630284097</v>
      </c>
      <c r="E6" s="13">
        <f>'Passenger NEW'!$E$76*About!$B$22*About!$B$20</f>
        <v>829.07973872159437</v>
      </c>
      <c r="F6" s="13">
        <f>($K6-$E6)/($K$1-$E$1)*(F$1-$E$1)+$E6</f>
        <v>690.89978226799531</v>
      </c>
      <c r="G6" s="13">
        <f t="shared" ref="G6:J6" si="2">($K6-$E6)/($K$1-$E$1)*(G$1-$E$1)+$E6</f>
        <v>552.71982581439624</v>
      </c>
      <c r="H6" s="13">
        <f t="shared" si="2"/>
        <v>414.53986936079718</v>
      </c>
      <c r="I6" s="13">
        <f t="shared" si="2"/>
        <v>276.35991290719812</v>
      </c>
      <c r="J6" s="13">
        <f t="shared" si="2"/>
        <v>138.17995645359906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0">
        <v>0</v>
      </c>
      <c r="C7" s="10">
        <v>0</v>
      </c>
      <c r="D7" s="10">
        <v>0</v>
      </c>
      <c r="E7" s="13">
        <f t="shared" si="1"/>
        <v>0</v>
      </c>
      <c r="F7" s="13">
        <f t="shared" si="1"/>
        <v>0</v>
      </c>
      <c r="G7" s="13">
        <f t="shared" si="1"/>
        <v>0</v>
      </c>
      <c r="H7" s="13">
        <f t="shared" si="1"/>
        <v>0</v>
      </c>
      <c r="I7" s="13">
        <f t="shared" si="1"/>
        <v>0</v>
      </c>
      <c r="J7" s="13">
        <f t="shared" si="1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f>'Passenger '!$F$74*About!$B$22*About!$B$20</f>
        <v>984.31303416058427</v>
      </c>
      <c r="C8" s="13">
        <f>'Passenger '!$F$74*About!$B$22*About!$B$20</f>
        <v>984.31303416058427</v>
      </c>
      <c r="D8" s="13">
        <f>'Passenger '!$F$74*About!$B$22*About!$B$20</f>
        <v>984.31303416058427</v>
      </c>
      <c r="E8" s="13">
        <f>'Passenger NEW'!$F$76*About!$B$22*About!$B$20</f>
        <v>530.57712695137673</v>
      </c>
      <c r="F8" s="13">
        <f t="shared" ref="F8:J8" si="3">($K8-$E8)/($K$1-$E$1)*(F$1-$E$1)+$E8</f>
        <v>442.14760579281392</v>
      </c>
      <c r="G8" s="13">
        <f t="shared" si="3"/>
        <v>353.71808463425111</v>
      </c>
      <c r="H8" s="13">
        <f t="shared" si="3"/>
        <v>265.28856347568836</v>
      </c>
      <c r="I8" s="13">
        <f t="shared" si="3"/>
        <v>176.85904231712556</v>
      </c>
      <c r="J8" s="13">
        <f t="shared" si="3"/>
        <v>88.42952115856275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  <row r="9" spans="1:3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97E4-AA72-4E8E-824E-F89ED7A0F4F8}">
  <sheetPr>
    <tabColor theme="4"/>
  </sheetPr>
  <dimension ref="A1:AF8"/>
  <sheetViews>
    <sheetView workbookViewId="0">
      <selection activeCell="B1" sqref="B1:B1048576"/>
    </sheetView>
  </sheetViews>
  <sheetFormatPr defaultColWidth="10.81640625" defaultRowHeight="14.5" x14ac:dyDescent="0.35"/>
  <cols>
    <col min="2" max="2" width="12.1796875" bestFit="1" customWidth="1"/>
  </cols>
  <sheetData>
    <row r="1" spans="1:32" ht="29" x14ac:dyDescent="0.35">
      <c r="A1" s="9" t="s">
        <v>53</v>
      </c>
      <c r="B1" s="10">
        <v>2021</v>
      </c>
      <c r="C1" s="10">
        <v>2022</v>
      </c>
      <c r="D1" s="10">
        <v>2023</v>
      </c>
      <c r="E1" s="10">
        <v>2024</v>
      </c>
      <c r="F1" s="10">
        <v>2025</v>
      </c>
      <c r="G1" s="10">
        <v>2026</v>
      </c>
      <c r="H1" s="10">
        <v>2027</v>
      </c>
      <c r="I1" s="10">
        <v>2028</v>
      </c>
      <c r="J1" s="10">
        <v>2029</v>
      </c>
      <c r="K1" s="10">
        <v>2030</v>
      </c>
      <c r="L1" s="10">
        <v>2031</v>
      </c>
      <c r="M1" s="10">
        <v>2032</v>
      </c>
      <c r="N1" s="10">
        <v>2033</v>
      </c>
      <c r="O1" s="10">
        <v>2034</v>
      </c>
      <c r="P1" s="10">
        <v>2035</v>
      </c>
      <c r="Q1" s="10">
        <v>2036</v>
      </c>
      <c r="R1" s="10">
        <v>2037</v>
      </c>
      <c r="S1" s="10">
        <v>2038</v>
      </c>
      <c r="T1" s="10">
        <v>2039</v>
      </c>
      <c r="U1" s="10">
        <v>2040</v>
      </c>
      <c r="V1" s="10">
        <v>2041</v>
      </c>
      <c r="W1" s="10">
        <v>2042</v>
      </c>
      <c r="X1" s="10">
        <v>2043</v>
      </c>
      <c r="Y1" s="10">
        <v>2044</v>
      </c>
      <c r="Z1" s="10">
        <v>2045</v>
      </c>
      <c r="AA1" s="10">
        <v>2046</v>
      </c>
      <c r="AB1" s="10">
        <v>2047</v>
      </c>
      <c r="AC1" s="10">
        <v>2048</v>
      </c>
      <c r="AD1" s="10">
        <v>2049</v>
      </c>
      <c r="AE1" s="10">
        <v>2050</v>
      </c>
      <c r="AF1" s="10"/>
    </row>
    <row r="2" spans="1:32" x14ac:dyDescent="0.35">
      <c r="A2" s="10" t="s">
        <v>54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0"/>
    </row>
    <row r="3" spans="1:32" x14ac:dyDescent="0.35">
      <c r="A3" s="10" t="s">
        <v>55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0"/>
    </row>
    <row r="4" spans="1:32" x14ac:dyDescent="0.35">
      <c r="A4" s="10" t="s">
        <v>56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0"/>
    </row>
    <row r="5" spans="1:32" x14ac:dyDescent="0.35">
      <c r="A5" s="10" t="s">
        <v>57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0"/>
    </row>
    <row r="6" spans="1:32" x14ac:dyDescent="0.35">
      <c r="A6" s="10" t="s">
        <v>58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0"/>
    </row>
    <row r="7" spans="1:32" x14ac:dyDescent="0.35">
      <c r="A7" s="10" t="s">
        <v>59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0"/>
    </row>
    <row r="8" spans="1:32" x14ac:dyDescent="0.35">
      <c r="A8" s="10" t="s">
        <v>60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A3FE5817-DCBF-4AA0-8001-AD1A728FD2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7F9-8A36-400A-A717-054225F6D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8A1F75-A434-47F7-811D-E7E919A9035B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Passenger </vt:lpstr>
      <vt:lpstr>Passenger NEW</vt:lpstr>
      <vt:lpstr>Freight</vt:lpstr>
      <vt:lpstr>Freight NEW</vt:lpstr>
      <vt:lpstr>psgr</vt:lpstr>
      <vt:lpstr>BVS-psgr-LDVs</vt:lpstr>
      <vt:lpstr>BVS-psgr-HDVs</vt:lpstr>
      <vt:lpstr>BVS-psgr-aircraft</vt:lpstr>
      <vt:lpstr>BVS-psgr-ships</vt:lpstr>
      <vt:lpstr>BVS-psgr-motorbikes</vt:lpstr>
      <vt:lpstr>BVS-psgr-rail</vt:lpstr>
      <vt:lpstr>frgt</vt:lpstr>
      <vt:lpstr>BVS-frgt-LDVs</vt:lpstr>
      <vt:lpstr>BVS-frgt-HDVs</vt:lpstr>
      <vt:lpstr>BVS-frgt-aircraft</vt:lpstr>
      <vt:lpstr>BVS-frgt-ships</vt:lpstr>
      <vt:lpstr>BVS-frgt-motorbikes</vt:lpstr>
      <vt:lpstr>BVS-frgt-rail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Batiste Fourniols</dc:creator>
  <cp:lastModifiedBy>Dan O'Brien</cp:lastModifiedBy>
  <dcterms:created xsi:type="dcterms:W3CDTF">2023-11-22T16:41:44Z</dcterms:created>
  <dcterms:modified xsi:type="dcterms:W3CDTF">2024-04-10T16:58:40Z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