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bldgs\BRESaC\"/>
    </mc:Choice>
  </mc:AlternateContent>
  <xr:revisionPtr revIDLastSave="0" documentId="13_ncr:1_{2692DF89-CEEC-4EFD-A5B2-F3E9DCD3779B}" xr6:coauthVersionLast="47" xr6:coauthVersionMax="47" xr10:uidLastSave="{00000000-0000-0000-0000-000000000000}"/>
  <bookViews>
    <workbookView xWindow="-110" yWindow="-110" windowWidth="19420" windowHeight="11500" firstSheet="1" activeTab="4" xr2:uid="{00000000-000D-0000-FFFF-FFFF00000000}"/>
  </bookViews>
  <sheets>
    <sheet name="About" sheetId="3" r:id="rId1"/>
    <sheet name="calc" sheetId="23" r:id="rId2"/>
    <sheet name="savings_commercial" sheetId="24" r:id="rId3"/>
    <sheet name="savings_residential" sheetId="25" r:id="rId4"/>
    <sheet name="BRESaC-energy" sheetId="10" r:id="rId5"/>
    <sheet name="BRESaC-cost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Z63" i="24"/>
  <c r="Z64" i="24" s="1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C8" i="24"/>
  <c r="U64" i="24"/>
  <c r="U63" i="24"/>
  <c r="U25" i="25"/>
  <c r="Z66" i="25"/>
  <c r="U66" i="25"/>
  <c r="Z38" i="25"/>
  <c r="U38" i="25"/>
  <c r="Z25" i="25"/>
  <c r="Z26" i="24"/>
  <c r="Z31" i="24" s="1"/>
  <c r="U26" i="24"/>
  <c r="Z16" i="25"/>
  <c r="U16" i="25"/>
  <c r="D2" i="10"/>
  <c r="Z34" i="24"/>
  <c r="U34" i="24"/>
  <c r="Z16" i="24"/>
  <c r="U16" i="24"/>
  <c r="U31" i="24"/>
  <c r="Z27" i="24"/>
  <c r="U27" i="24"/>
  <c r="C39" i="24"/>
  <c r="Z59" i="25"/>
  <c r="U59" i="25"/>
  <c r="Z58" i="25"/>
  <c r="U58" i="25"/>
  <c r="Z57" i="25"/>
  <c r="U57" i="25"/>
  <c r="C56" i="25"/>
  <c r="Z45" i="25"/>
  <c r="U45" i="25"/>
  <c r="Z44" i="25"/>
  <c r="U44" i="25"/>
  <c r="Z43" i="25"/>
  <c r="U43" i="25"/>
  <c r="C42" i="25"/>
  <c r="AO35" i="25"/>
  <c r="AN35" i="25"/>
  <c r="AM35" i="25"/>
  <c r="AL35" i="25"/>
  <c r="AK35" i="25"/>
  <c r="AJ35" i="25"/>
  <c r="AI35" i="25"/>
  <c r="AH35" i="25"/>
  <c r="AG35" i="25"/>
  <c r="AF35" i="25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S35" i="25"/>
  <c r="R35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AO34" i="25"/>
  <c r="AN34" i="25"/>
  <c r="AM34" i="25"/>
  <c r="AL34" i="25"/>
  <c r="AK34" i="25"/>
  <c r="AJ34" i="25"/>
  <c r="AI34" i="25"/>
  <c r="AH34" i="25"/>
  <c r="AG34" i="25"/>
  <c r="AF34" i="25"/>
  <c r="AE34" i="25"/>
  <c r="AD34" i="25"/>
  <c r="AC34" i="25"/>
  <c r="AB34" i="25"/>
  <c r="AA34" i="25"/>
  <c r="Z34" i="25"/>
  <c r="Y34" i="25"/>
  <c r="X34" i="25"/>
  <c r="W34" i="25"/>
  <c r="V34" i="25"/>
  <c r="U34" i="25"/>
  <c r="T34" i="25"/>
  <c r="S34" i="25"/>
  <c r="R34" i="25"/>
  <c r="Q34" i="25"/>
  <c r="P34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AO33" i="25"/>
  <c r="AN33" i="25"/>
  <c r="AM33" i="25"/>
  <c r="AL33" i="25"/>
  <c r="AK33" i="25"/>
  <c r="AJ33" i="25"/>
  <c r="AI33" i="25"/>
  <c r="AH33" i="25"/>
  <c r="AG33" i="25"/>
  <c r="AF33" i="25"/>
  <c r="AE33" i="25"/>
  <c r="AD33" i="25"/>
  <c r="AC33" i="25"/>
  <c r="AB33" i="25"/>
  <c r="AA33" i="25"/>
  <c r="Z33" i="25"/>
  <c r="Y33" i="25"/>
  <c r="X33" i="25"/>
  <c r="W33" i="25"/>
  <c r="V33" i="25"/>
  <c r="U33" i="25"/>
  <c r="T33" i="25"/>
  <c r="S33" i="25"/>
  <c r="R33" i="25"/>
  <c r="Q33" i="25"/>
  <c r="P33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AO32" i="25"/>
  <c r="AN32" i="25"/>
  <c r="AM32" i="25"/>
  <c r="AL32" i="25"/>
  <c r="AK32" i="25"/>
  <c r="AJ32" i="25"/>
  <c r="AI32" i="25"/>
  <c r="AH32" i="25"/>
  <c r="AG32" i="25"/>
  <c r="AF32" i="25"/>
  <c r="AE32" i="25"/>
  <c r="AD32" i="25"/>
  <c r="AC32" i="25"/>
  <c r="AB32" i="25"/>
  <c r="AA32" i="25"/>
  <c r="Z32" i="25"/>
  <c r="Y32" i="25"/>
  <c r="X32" i="25"/>
  <c r="W32" i="25"/>
  <c r="V32" i="25"/>
  <c r="U32" i="25"/>
  <c r="T32" i="25"/>
  <c r="S32" i="25"/>
  <c r="R32" i="25"/>
  <c r="Q32" i="25"/>
  <c r="P32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AO22" i="25"/>
  <c r="AN22" i="25"/>
  <c r="AM22" i="25"/>
  <c r="AL22" i="25"/>
  <c r="AK22" i="25"/>
  <c r="AJ22" i="25"/>
  <c r="AI22" i="25"/>
  <c r="AH22" i="25"/>
  <c r="AG22" i="25"/>
  <c r="AF22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AO21" i="25"/>
  <c r="AN21" i="25"/>
  <c r="AM21" i="25"/>
  <c r="AL21" i="25"/>
  <c r="AK21" i="25"/>
  <c r="AJ21" i="25"/>
  <c r="AI21" i="25"/>
  <c r="AH21" i="25"/>
  <c r="AG21" i="25"/>
  <c r="AF21" i="25"/>
  <c r="AE21" i="25"/>
  <c r="AD21" i="25"/>
  <c r="AC21" i="25"/>
  <c r="AB21" i="25"/>
  <c r="AA21" i="25"/>
  <c r="Z21" i="25"/>
  <c r="Z46" i="25" s="1"/>
  <c r="Y21" i="25"/>
  <c r="X21" i="25"/>
  <c r="W21" i="25"/>
  <c r="V21" i="25"/>
  <c r="U21" i="25"/>
  <c r="U46" i="25" s="1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Z60" i="25" s="1"/>
  <c r="Y20" i="25"/>
  <c r="X20" i="25"/>
  <c r="W20" i="25"/>
  <c r="V20" i="25"/>
  <c r="U20" i="25"/>
  <c r="U60" i="25" s="1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AO19" i="25"/>
  <c r="AN19" i="25"/>
  <c r="AM19" i="25"/>
  <c r="AL19" i="25"/>
  <c r="AK19" i="25"/>
  <c r="AJ19" i="25"/>
  <c r="AI19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AO18" i="25"/>
  <c r="AN18" i="25"/>
  <c r="AM18" i="25"/>
  <c r="AL18" i="25"/>
  <c r="AK18" i="25"/>
  <c r="AJ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Z30" i="25" l="1"/>
  <c r="Z67" i="25" s="1"/>
  <c r="U26" i="25"/>
  <c r="U56" i="25"/>
  <c r="U61" i="25" s="1"/>
  <c r="Z26" i="25"/>
  <c r="Z56" i="25"/>
  <c r="Z61" i="25" s="1"/>
  <c r="Z63" i="25" s="1"/>
  <c r="Z64" i="25" s="1"/>
  <c r="U42" i="25"/>
  <c r="U47" i="25" s="1"/>
  <c r="U49" i="25" s="1"/>
  <c r="U50" i="25" s="1"/>
  <c r="Z42" i="25"/>
  <c r="Z47" i="25" s="1"/>
  <c r="Z49" i="25" s="1"/>
  <c r="Z50" i="25" s="1"/>
  <c r="U63" i="25"/>
  <c r="U64" i="25" s="1"/>
  <c r="U30" i="25" l="1"/>
  <c r="U67" i="25" l="1"/>
  <c r="Z56" i="24"/>
  <c r="U56" i="24"/>
  <c r="Z55" i="24"/>
  <c r="U55" i="24"/>
  <c r="Z54" i="24"/>
  <c r="U54" i="24"/>
  <c r="C53" i="24"/>
  <c r="Z42" i="24"/>
  <c r="U42" i="24"/>
  <c r="Z41" i="24"/>
  <c r="U41" i="24"/>
  <c r="Z40" i="24"/>
  <c r="U40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Z57" i="24" s="1"/>
  <c r="Y20" i="24"/>
  <c r="X20" i="24"/>
  <c r="W20" i="24"/>
  <c r="V20" i="24"/>
  <c r="U20" i="24"/>
  <c r="U53" i="24" s="1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Z43" i="24" l="1"/>
  <c r="Z39" i="24"/>
  <c r="U43" i="24"/>
  <c r="U39" i="24"/>
  <c r="U57" i="24"/>
  <c r="U58" i="24"/>
  <c r="U60" i="24" s="1"/>
  <c r="U61" i="24" s="1"/>
  <c r="Z53" i="24"/>
  <c r="Z58" i="24" s="1"/>
  <c r="Z60" i="24" s="1"/>
  <c r="Z61" i="24" s="1"/>
  <c r="Z44" i="24"/>
  <c r="Z46" i="24" s="1"/>
  <c r="Z47" i="24" s="1"/>
  <c r="U44" i="24"/>
  <c r="U46" i="24" s="1"/>
  <c r="U47" i="24" s="1"/>
  <c r="C2" i="10"/>
  <c r="D2" i="12"/>
  <c r="D3" i="12" s="1"/>
  <c r="B2" i="12"/>
  <c r="B3" i="12" s="1"/>
  <c r="B19" i="3"/>
  <c r="D3" i="10"/>
  <c r="B3" i="10"/>
  <c r="G25" i="23"/>
  <c r="H25" i="23" s="1"/>
  <c r="G24" i="23"/>
  <c r="H24" i="23" s="1"/>
  <c r="F25" i="23"/>
  <c r="F24" i="23"/>
  <c r="E25" i="23" l="1"/>
  <c r="E24" i="23"/>
  <c r="D25" i="23"/>
  <c r="D24" i="23"/>
  <c r="C25" i="23"/>
  <c r="C24" i="23"/>
  <c r="B25" i="23"/>
  <c r="B24" i="23"/>
  <c r="D9" i="23"/>
  <c r="E9" i="23" s="1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AB9" i="23" s="1"/>
  <c r="AC9" i="23" s="1"/>
  <c r="AD9" i="23" s="1"/>
  <c r="AE9" i="23" s="1"/>
  <c r="AF9" i="23" s="1"/>
  <c r="C2" i="12" l="1"/>
  <c r="C3" i="12" s="1"/>
  <c r="C7" i="12"/>
  <c r="C6" i="12"/>
  <c r="C5" i="12"/>
  <c r="C4" i="12"/>
  <c r="D4" i="12" s="1"/>
  <c r="C3" i="10" l="1"/>
  <c r="C4" i="10"/>
  <c r="C5" i="10"/>
  <c r="C6" i="10"/>
  <c r="C7" i="10"/>
</calcChain>
</file>

<file path=xl/sharedStrings.xml><?xml version="1.0" encoding="utf-8"?>
<sst xmlns="http://schemas.openxmlformats.org/spreadsheetml/2006/main" count="436" uniqueCount="122">
  <si>
    <t>BRESaC Percent Energy Savings from Retrofitting by Component</t>
  </si>
  <si>
    <t>BRESaC Retrofitting Cost per Unit Energy Saved</t>
  </si>
  <si>
    <t>Source:</t>
  </si>
  <si>
    <t>Percent energy saving (dimensionless)</t>
  </si>
  <si>
    <t>urban residential</t>
  </si>
  <si>
    <t>rural residential</t>
  </si>
  <si>
    <t>commercial</t>
  </si>
  <si>
    <t>heating</t>
  </si>
  <si>
    <t>cooling and ventilation</t>
  </si>
  <si>
    <t>envelope</t>
  </si>
  <si>
    <t>lighting</t>
  </si>
  <si>
    <t>appliances</t>
  </si>
  <si>
    <t>other component</t>
  </si>
  <si>
    <t>$/BTU</t>
  </si>
  <si>
    <t>Forecat Simulation</t>
  </si>
  <si>
    <t>Note</t>
  </si>
  <si>
    <t>We take from FORECAST simulation results over the period from 2021 to 2050:</t>
  </si>
  <si>
    <t>the investments into building envelope and heating systems</t>
  </si>
  <si>
    <t>the final energy demand</t>
  </si>
  <si>
    <t>the changing floor area</t>
  </si>
  <si>
    <t xml:space="preserve">the energy savings are  (fed(2021)/fa(2021) / (fed(2050)/fa(2050) </t>
  </si>
  <si>
    <t>the costs are sum of invest costs in whole period / fed of whole period</t>
  </si>
  <si>
    <t>Investment in Mio.EUR.2015</t>
  </si>
  <si>
    <t>2021-2025</t>
  </si>
  <si>
    <t>2026-2030</t>
  </si>
  <si>
    <t>2031-2035</t>
  </si>
  <si>
    <t>2036-2040</t>
  </si>
  <si>
    <t>2041-2045</t>
  </si>
  <si>
    <t>2046-2050</t>
  </si>
  <si>
    <t>2021-2027</t>
  </si>
  <si>
    <t>EU27</t>
  </si>
  <si>
    <t>Agora GEXIT Project, 2023</t>
  </si>
  <si>
    <t>Envelope res and ter</t>
  </si>
  <si>
    <t xml:space="preserve">Heating system </t>
  </si>
  <si>
    <t>RES</t>
  </si>
  <si>
    <t>TER</t>
  </si>
  <si>
    <t>FED</t>
  </si>
  <si>
    <t>FA</t>
  </si>
  <si>
    <t>TWh</t>
  </si>
  <si>
    <t>Mm2</t>
  </si>
  <si>
    <t>investment envelope</t>
  </si>
  <si>
    <t>Mio. EUR 2015</t>
  </si>
  <si>
    <t>investment heating system</t>
  </si>
  <si>
    <t>spec. fed 2021</t>
  </si>
  <si>
    <t>spec. fed 2050</t>
  </si>
  <si>
    <t>fed saving</t>
  </si>
  <si>
    <t>kWh/m2/yr</t>
  </si>
  <si>
    <t>Space heating, hot water without ambient heat</t>
  </si>
  <si>
    <t>costs</t>
  </si>
  <si>
    <t>EUR2015/TWh/a</t>
  </si>
  <si>
    <t>EUR2015/BTU/a</t>
  </si>
  <si>
    <t>source prices are EUR(2012)</t>
  </si>
  <si>
    <t>to transform them into USD(2012)</t>
  </si>
  <si>
    <t>exchange rate</t>
  </si>
  <si>
    <t>1 EUR(2012)=</t>
  </si>
  <si>
    <t>USD(2012)</t>
  </si>
  <si>
    <t>Final Energy Demand, commercial</t>
  </si>
  <si>
    <t>ID_ConstructionPeriod</t>
  </si>
  <si>
    <t>Unit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</si>
  <si>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</si>
  <si>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</si>
  <si>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</si>
  <si>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</si>
  <si>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</si>
  <si>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</si>
  <si>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</si>
  <si>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</si>
  <si>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</si>
  <si>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</si>
  <si>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</si>
  <si>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</si>
  <si>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</si>
  <si>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</si>
  <si>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</si>
  <si>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</si>
  <si>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</si>
  <si>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</si>
  <si>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</si>
  <si>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</si>
  <si>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</si>
  <si>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</si>
  <si>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</si>
  <si>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</si>
  <si>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</si>
  <si>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</si>
  <si>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</si>
  <si>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</si>
  <si>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</si>
  <si>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</si>
  <si>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</si>
  <si>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</si>
  <si>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</si>
  <si>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</si>
  <si>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</si>
  <si>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</si>
  <si>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</si>
  <si>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</si>
  <si>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</si>
  <si>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1961-1990</t>
  </si>
  <si>
    <t>1991-2008</t>
  </si>
  <si>
    <t>2009-2020</t>
  </si>
  <si>
    <t>2021-2050</t>
  </si>
  <si>
    <t>Before 1961</t>
  </si>
  <si>
    <t>Total</t>
  </si>
  <si>
    <t>Floor Area, commercial</t>
  </si>
  <si>
    <t>m2</t>
  </si>
  <si>
    <t>spec. Heat demand</t>
  </si>
  <si>
    <t>New Scenario* HIGH</t>
  </si>
  <si>
    <t>*Buildings from 1961-1990 and before 1961 are improved to the spec. Heat demand of the cohort of 2009-2020</t>
  </si>
  <si>
    <t>saving:</t>
  </si>
  <si>
    <t>relative</t>
  </si>
  <si>
    <t>New Scenario* LOW</t>
  </si>
  <si>
    <t>*Buildings from 1961-1990 and before 1961 are improved to the spec. Heat demand of the cohort of 1991-2008</t>
  </si>
  <si>
    <t>Final Energy Demand, residential</t>
  </si>
  <si>
    <t>Floor Area, residential</t>
  </si>
  <si>
    <t>spec. Heat Demand, residential</t>
  </si>
  <si>
    <t>-</t>
  </si>
  <si>
    <t>Average Floor Area per year</t>
  </si>
  <si>
    <t>TWh/m2</t>
  </si>
  <si>
    <t>reduction in spec. heat demand</t>
  </si>
  <si>
    <t>Share of bldg floorspace from pre 1961 and 1961-90</t>
  </si>
  <si>
    <t>Share of bldg floorspace from pre 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</si>
</sst>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0.000"/>
    <numFmt numFmtId="167" formatCode="0.000000"/>
    <numFmt numFmtId="168" formatCode="_(* #,##0.00000_);_(* \(#,##0.00000\);_(* &quot;-&quot;??_);_(@_)"/>
    <numFmt numFmtId="169" formatCode="_(* #,##0_);_(* \(#,##0\);_(* &quot;-&quot;??_);_(@_)"/>
    <numFmt numFmtId="170" formatCode="0.0"/>
    <numFmt numFmtId="171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165" fontId="1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166" fontId="0" fillId="0" borderId="0" xfId="0" applyNumberFormat="1"/>
    <xf numFmtId="167" fontId="0" fillId="0" borderId="0" xfId="0" applyNumberFormat="1"/>
    <xf numFmtId="0" fontId="3" fillId="0" borderId="0" xfId="1" applyFill="1"/>
    <xf numFmtId="0" fontId="3" fillId="0" borderId="0" xfId="1" applyAlignment="1">
      <alignment horizontal="left"/>
    </xf>
    <xf numFmtId="1" fontId="0" fillId="0" borderId="0" xfId="0" applyNumberFormat="1"/>
    <xf numFmtId="169" fontId="0" fillId="0" borderId="0" xfId="12" applyNumberFormat="1" applyFont="1"/>
    <xf numFmtId="169" fontId="0" fillId="0" borderId="0" xfId="0" applyNumberFormat="1"/>
    <xf numFmtId="168" fontId="0" fillId="0" borderId="0" xfId="12" applyNumberFormat="1" applyFont="1"/>
    <xf numFmtId="0" fontId="2" fillId="3" borderId="0" xfId="0" applyFont="1" applyFill="1"/>
    <xf numFmtId="0" fontId="0" fillId="3" borderId="0" xfId="0" applyFill="1"/>
    <xf numFmtId="170" fontId="2" fillId="0" borderId="0" xfId="0" applyNumberFormat="1" applyFont="1"/>
    <xf numFmtId="170" fontId="0" fillId="3" borderId="0" xfId="0" applyNumberFormat="1" applyFill="1"/>
    <xf numFmtId="171" fontId="0" fillId="3" borderId="0" xfId="13" applyNumberFormat="1" applyFont="1" applyFill="1"/>
    <xf numFmtId="0" fontId="2" fillId="4" borderId="0" xfId="0" applyFont="1" applyFill="1"/>
    <xf numFmtId="0" fontId="0" fillId="4" borderId="0" xfId="0" applyFill="1"/>
    <xf numFmtId="170" fontId="0" fillId="4" borderId="0" xfId="0" applyNumberFormat="1" applyFill="1"/>
    <xf numFmtId="171" fontId="0" fillId="4" borderId="0" xfId="13" applyNumberFormat="1" applyFont="1" applyFill="1"/>
    <xf numFmtId="170" fontId="0" fillId="0" borderId="0" xfId="0" applyNumberFormat="1"/>
    <xf numFmtId="11" fontId="0" fillId="0" borderId="0" xfId="0" applyNumberFormat="1"/>
    <xf numFmtId="170" fontId="0" fillId="0" borderId="0" xfId="0" applyNumberFormat="1" applyAlignment="1">
      <alignment horizontal="right"/>
    </xf>
    <xf numFmtId="9" fontId="0" fillId="0" borderId="0" xfId="13" applyFont="1"/>
    <xf numFmtId="2" fontId="0" fillId="0" borderId="0" xfId="0" applyNumberFormat="1"/>
    <xf numFmtId="171" fontId="0" fillId="0" borderId="0" xfId="13" applyNumberFormat="1" applyFont="1"/>
    <xf numFmtId="171" fontId="2" fillId="0" borderId="0" xfId="13" applyNumberFormat="1" applyFont="1"/>
    <xf numFmtId="9" fontId="2" fillId="0" borderId="0" xfId="13" applyFont="1"/>
    <xf numFmtId="171" fontId="0" fillId="5" borderId="0" xfId="13" applyNumberFormat="1" applyFont="1" applyFill="1"/>
    <xf numFmtId="170" fontId="0" fillId="5" borderId="0" xfId="0" applyNumberFormat="1" applyFill="1"/>
    <xf numFmtId="43" fontId="0" fillId="0" borderId="0" xfId="12" applyFont="1"/>
  </cellXfs>
  <cellStyles count="14">
    <cellStyle name="Body: normal cell" xfId="6" xr:uid="{00000000-0005-0000-0000-000000000000}"/>
    <cellStyle name="Comma" xfId="12" builtinId="3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Komma 2" xfId="9" xr:uid="{00000000-0005-0000-0000-000004000000}"/>
    <cellStyle name="Komma 3" xfId="11" xr:uid="{00000000-0005-0000-0000-000005000000}"/>
    <cellStyle name="Normal" xfId="0" builtinId="0"/>
    <cellStyle name="Normal 2" xfId="8" xr:uid="{00000000-0005-0000-0000-000007000000}"/>
    <cellStyle name="Normal 2 2" xfId="10" xr:uid="{00000000-0005-0000-0000-000008000000}"/>
    <cellStyle name="Parent row" xfId="5" xr:uid="{00000000-0005-0000-0000-000009000000}"/>
    <cellStyle name="Percent" xfId="13" builtinId="5"/>
    <cellStyle name="Table title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C34"/>
  <sheetViews>
    <sheetView workbookViewId="0">
      <selection activeCell="B7" sqref="B7"/>
    </sheetView>
  </sheetViews>
  <sheetFormatPr defaultColWidth="8.90625" defaultRowHeight="14.5" x14ac:dyDescent="0.35"/>
  <cols>
    <col min="1" max="1" width="12.08984375" customWidth="1"/>
    <col min="2" max="2" width="73.089843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s="4" t="s">
        <v>14</v>
      </c>
    </row>
    <row r="6" spans="1:2" x14ac:dyDescent="0.35">
      <c r="B6" s="2"/>
    </row>
    <row r="7" spans="1:2" x14ac:dyDescent="0.35">
      <c r="A7" t="s">
        <v>15</v>
      </c>
    </row>
    <row r="8" spans="1:2" x14ac:dyDescent="0.35">
      <c r="A8" t="s">
        <v>16</v>
      </c>
      <c r="B8" s="10"/>
    </row>
    <row r="9" spans="1:2" x14ac:dyDescent="0.35">
      <c r="B9" t="s">
        <v>17</v>
      </c>
    </row>
    <row r="10" spans="1:2" x14ac:dyDescent="0.35">
      <c r="B10" t="s">
        <v>18</v>
      </c>
    </row>
    <row r="11" spans="1:2" x14ac:dyDescent="0.35">
      <c r="B11" s="2" t="s">
        <v>19</v>
      </c>
    </row>
    <row r="13" spans="1:2" x14ac:dyDescent="0.35">
      <c r="A13" t="s">
        <v>20</v>
      </c>
      <c r="B13" s="3"/>
    </row>
    <row r="14" spans="1:2" x14ac:dyDescent="0.35">
      <c r="A14" t="s">
        <v>21</v>
      </c>
    </row>
    <row r="16" spans="1:2" x14ac:dyDescent="0.35">
      <c r="A16" t="s">
        <v>51</v>
      </c>
      <c r="B16" s="1"/>
    </row>
    <row r="17" spans="1:3" x14ac:dyDescent="0.35">
      <c r="A17" t="s">
        <v>52</v>
      </c>
    </row>
    <row r="18" spans="1:3" x14ac:dyDescent="0.35">
      <c r="A18" t="s">
        <v>53</v>
      </c>
      <c r="B18" s="7">
        <v>1.2847999999999999</v>
      </c>
    </row>
    <row r="19" spans="1:3" x14ac:dyDescent="0.35">
      <c r="A19" t="s">
        <v>54</v>
      </c>
      <c r="B19" s="7">
        <f>B18</f>
        <v>1.2847999999999999</v>
      </c>
      <c r="C19" t="s">
        <v>55</v>
      </c>
    </row>
    <row r="20" spans="1:3" x14ac:dyDescent="0.35">
      <c r="B20" s="9"/>
    </row>
    <row r="23" spans="1:3" x14ac:dyDescent="0.35">
      <c r="B23" s="1"/>
    </row>
    <row r="25" spans="1:3" x14ac:dyDescent="0.35">
      <c r="B25" s="2"/>
    </row>
    <row r="27" spans="1:3" x14ac:dyDescent="0.35">
      <c r="B27" s="9"/>
    </row>
    <row r="30" spans="1:3" x14ac:dyDescent="0.35">
      <c r="B30" s="1"/>
    </row>
    <row r="32" spans="1:3" x14ac:dyDescent="0.35">
      <c r="B32" s="2"/>
    </row>
    <row r="34" spans="2:2" x14ac:dyDescent="0.35">
      <c r="B34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B074-BC22-4F1D-A348-75084045A623}">
  <sheetPr>
    <tabColor theme="0" tint="-0.14999847407452621"/>
  </sheetPr>
  <dimension ref="A1:AF29"/>
  <sheetViews>
    <sheetView topLeftCell="A8" workbookViewId="0">
      <selection activeCell="F24" sqref="F24"/>
    </sheetView>
  </sheetViews>
  <sheetFormatPr defaultRowHeight="14.5" x14ac:dyDescent="0.35"/>
  <cols>
    <col min="2" max="2" width="16.6328125" bestFit="1" customWidth="1"/>
    <col min="3" max="3" width="23.26953125" bestFit="1" customWidth="1"/>
    <col min="4" max="5" width="12.7265625" bestFit="1" customWidth="1"/>
    <col min="7" max="7" width="14.90625" bestFit="1" customWidth="1"/>
  </cols>
  <sheetData>
    <row r="1" spans="1:32" x14ac:dyDescent="0.35">
      <c r="A1" t="s">
        <v>2</v>
      </c>
      <c r="B1" t="s">
        <v>31</v>
      </c>
    </row>
    <row r="4" spans="1:32" x14ac:dyDescent="0.35">
      <c r="A4" t="s">
        <v>22</v>
      </c>
      <c r="B4" s="11"/>
      <c r="C4" s="11"/>
      <c r="D4" s="11"/>
      <c r="E4" s="11"/>
      <c r="F4" s="11"/>
      <c r="G4" s="11"/>
      <c r="H4" s="11"/>
      <c r="I4" s="11"/>
    </row>
    <row r="5" spans="1:32" x14ac:dyDescent="0.35">
      <c r="A5" s="11" t="s">
        <v>32</v>
      </c>
      <c r="B5" s="11"/>
      <c r="C5" s="11" t="s">
        <v>23</v>
      </c>
      <c r="D5" s="11" t="s">
        <v>24</v>
      </c>
      <c r="E5" s="11" t="s">
        <v>25</v>
      </c>
      <c r="F5" s="11" t="s">
        <v>26</v>
      </c>
      <c r="G5" s="11" t="s">
        <v>27</v>
      </c>
      <c r="H5" s="11" t="s">
        <v>28</v>
      </c>
      <c r="I5" s="11" t="s">
        <v>29</v>
      </c>
    </row>
    <row r="6" spans="1:32" x14ac:dyDescent="0.35">
      <c r="A6" s="11"/>
      <c r="B6" s="11" t="s">
        <v>30</v>
      </c>
      <c r="C6" s="11">
        <v>185417.04773434042</v>
      </c>
      <c r="D6" s="11">
        <v>211844.91676169314</v>
      </c>
      <c r="E6" s="11">
        <v>254368.16662289636</v>
      </c>
      <c r="F6" s="11">
        <v>296283.51499931706</v>
      </c>
      <c r="G6" s="11">
        <v>330341.98343717965</v>
      </c>
      <c r="H6" s="11">
        <v>378776.33603295259</v>
      </c>
      <c r="I6" s="11">
        <v>264702.00665149675</v>
      </c>
    </row>
    <row r="9" spans="1:32" x14ac:dyDescent="0.35">
      <c r="A9" t="s">
        <v>33</v>
      </c>
      <c r="C9">
        <v>2021</v>
      </c>
      <c r="D9">
        <f>C9+1</f>
        <v>2022</v>
      </c>
      <c r="E9">
        <f t="shared" ref="E9:AF9" si="0">D9+1</f>
        <v>2023</v>
      </c>
      <c r="F9">
        <f t="shared" si="0"/>
        <v>2024</v>
      </c>
      <c r="G9">
        <f t="shared" si="0"/>
        <v>2025</v>
      </c>
      <c r="H9">
        <f t="shared" si="0"/>
        <v>2026</v>
      </c>
      <c r="I9">
        <f t="shared" si="0"/>
        <v>2027</v>
      </c>
      <c r="J9">
        <f t="shared" si="0"/>
        <v>2028</v>
      </c>
      <c r="K9">
        <f t="shared" si="0"/>
        <v>2029</v>
      </c>
      <c r="L9">
        <f t="shared" si="0"/>
        <v>2030</v>
      </c>
      <c r="M9">
        <f t="shared" si="0"/>
        <v>2031</v>
      </c>
      <c r="N9">
        <f t="shared" si="0"/>
        <v>2032</v>
      </c>
      <c r="O9">
        <f t="shared" si="0"/>
        <v>2033</v>
      </c>
      <c r="P9">
        <f t="shared" si="0"/>
        <v>2034</v>
      </c>
      <c r="Q9">
        <f t="shared" si="0"/>
        <v>2035</v>
      </c>
      <c r="R9">
        <f t="shared" si="0"/>
        <v>2036</v>
      </c>
      <c r="S9">
        <f t="shared" si="0"/>
        <v>2037</v>
      </c>
      <c r="T9">
        <f t="shared" si="0"/>
        <v>2038</v>
      </c>
      <c r="U9">
        <f t="shared" si="0"/>
        <v>2039</v>
      </c>
      <c r="V9">
        <f t="shared" si="0"/>
        <v>2040</v>
      </c>
      <c r="W9">
        <f t="shared" si="0"/>
        <v>2041</v>
      </c>
      <c r="X9">
        <f t="shared" si="0"/>
        <v>2042</v>
      </c>
      <c r="Y9">
        <f t="shared" si="0"/>
        <v>2043</v>
      </c>
      <c r="Z9">
        <f t="shared" si="0"/>
        <v>2044</v>
      </c>
      <c r="AA9">
        <f t="shared" si="0"/>
        <v>2045</v>
      </c>
      <c r="AB9">
        <f t="shared" si="0"/>
        <v>2046</v>
      </c>
      <c r="AC9">
        <f t="shared" si="0"/>
        <v>2047</v>
      </c>
      <c r="AD9">
        <f t="shared" si="0"/>
        <v>2048</v>
      </c>
      <c r="AE9">
        <f t="shared" si="0"/>
        <v>2049</v>
      </c>
      <c r="AF9">
        <f t="shared" si="0"/>
        <v>2050</v>
      </c>
    </row>
    <row r="10" spans="1:32" x14ac:dyDescent="0.35">
      <c r="A10" t="s">
        <v>34</v>
      </c>
      <c r="C10">
        <v>30429</v>
      </c>
      <c r="D10">
        <v>32764</v>
      </c>
      <c r="E10">
        <v>33854</v>
      </c>
      <c r="F10">
        <v>36148</v>
      </c>
      <c r="G10">
        <v>34388</v>
      </c>
      <c r="H10">
        <v>35111</v>
      </c>
      <c r="I10">
        <v>34511</v>
      </c>
      <c r="J10">
        <v>35378</v>
      </c>
      <c r="K10">
        <v>34696</v>
      </c>
      <c r="L10">
        <v>34796</v>
      </c>
      <c r="M10">
        <v>36149</v>
      </c>
      <c r="N10">
        <v>35559</v>
      </c>
      <c r="O10">
        <v>36151</v>
      </c>
      <c r="P10">
        <v>36714</v>
      </c>
      <c r="Q10">
        <v>37807</v>
      </c>
      <c r="R10">
        <v>37661</v>
      </c>
      <c r="S10">
        <v>37617</v>
      </c>
      <c r="T10">
        <v>37782</v>
      </c>
      <c r="U10">
        <v>37794</v>
      </c>
      <c r="V10">
        <v>38305</v>
      </c>
      <c r="W10">
        <v>38204</v>
      </c>
      <c r="X10">
        <v>38593</v>
      </c>
      <c r="Y10">
        <v>38070</v>
      </c>
      <c r="Z10">
        <v>38560</v>
      </c>
      <c r="AA10">
        <v>37992</v>
      </c>
      <c r="AB10">
        <v>37164</v>
      </c>
      <c r="AC10">
        <v>37222</v>
      </c>
      <c r="AD10">
        <v>37608</v>
      </c>
      <c r="AE10">
        <v>37655</v>
      </c>
      <c r="AF10">
        <v>36951</v>
      </c>
    </row>
    <row r="11" spans="1:32" x14ac:dyDescent="0.35">
      <c r="A11" t="s">
        <v>35</v>
      </c>
      <c r="C11">
        <v>5842</v>
      </c>
      <c r="D11">
        <v>6322</v>
      </c>
      <c r="E11">
        <v>6549</v>
      </c>
      <c r="F11">
        <v>7163</v>
      </c>
      <c r="G11">
        <v>7430</v>
      </c>
      <c r="H11">
        <v>7200</v>
      </c>
      <c r="I11">
        <v>7184</v>
      </c>
      <c r="J11">
        <v>7378</v>
      </c>
      <c r="K11">
        <v>7414</v>
      </c>
      <c r="L11">
        <v>7434</v>
      </c>
      <c r="M11">
        <v>7147</v>
      </c>
      <c r="N11">
        <v>7292</v>
      </c>
      <c r="O11">
        <v>7505</v>
      </c>
      <c r="P11">
        <v>7379</v>
      </c>
      <c r="Q11">
        <v>7572</v>
      </c>
      <c r="R11">
        <v>7397</v>
      </c>
      <c r="S11">
        <v>7573</v>
      </c>
      <c r="T11">
        <v>7310</v>
      </c>
      <c r="U11">
        <v>7485</v>
      </c>
      <c r="V11">
        <v>7457</v>
      </c>
      <c r="W11">
        <v>7261</v>
      </c>
      <c r="X11">
        <v>7520</v>
      </c>
      <c r="Y11">
        <v>7362</v>
      </c>
      <c r="Z11">
        <v>7488</v>
      </c>
      <c r="AA11">
        <v>7582</v>
      </c>
      <c r="AB11">
        <v>7295</v>
      </c>
      <c r="AC11">
        <v>7211</v>
      </c>
      <c r="AD11">
        <v>7273</v>
      </c>
      <c r="AE11">
        <v>7453</v>
      </c>
      <c r="AF11">
        <v>7244</v>
      </c>
    </row>
    <row r="13" spans="1:32" x14ac:dyDescent="0.35">
      <c r="A13" t="s">
        <v>36</v>
      </c>
      <c r="B13" t="s">
        <v>47</v>
      </c>
    </row>
    <row r="14" spans="1:32" x14ac:dyDescent="0.35">
      <c r="A14" t="s">
        <v>34</v>
      </c>
      <c r="B14" t="s">
        <v>38</v>
      </c>
      <c r="C14">
        <v>2391</v>
      </c>
      <c r="D14">
        <v>2322</v>
      </c>
      <c r="E14">
        <v>2288</v>
      </c>
      <c r="F14">
        <v>2220</v>
      </c>
      <c r="G14">
        <v>2217</v>
      </c>
      <c r="H14">
        <v>2192</v>
      </c>
      <c r="I14">
        <v>2162</v>
      </c>
      <c r="J14">
        <v>2161</v>
      </c>
      <c r="K14">
        <v>2148</v>
      </c>
      <c r="L14">
        <v>2129</v>
      </c>
      <c r="M14">
        <v>2107</v>
      </c>
      <c r="N14">
        <v>2096</v>
      </c>
      <c r="O14">
        <v>2086</v>
      </c>
      <c r="P14">
        <v>2081</v>
      </c>
      <c r="Q14">
        <v>2053</v>
      </c>
      <c r="R14">
        <v>2030</v>
      </c>
      <c r="S14">
        <v>2009</v>
      </c>
      <c r="T14">
        <v>1995</v>
      </c>
      <c r="U14">
        <v>1978</v>
      </c>
      <c r="V14">
        <v>1961</v>
      </c>
      <c r="W14">
        <v>1945</v>
      </c>
      <c r="X14">
        <v>1928</v>
      </c>
      <c r="Y14">
        <v>1912</v>
      </c>
      <c r="Z14">
        <v>1896</v>
      </c>
      <c r="AA14">
        <v>1881</v>
      </c>
      <c r="AB14">
        <v>1865</v>
      </c>
      <c r="AC14">
        <v>1848</v>
      </c>
      <c r="AD14">
        <v>1831</v>
      </c>
      <c r="AE14">
        <v>1816</v>
      </c>
      <c r="AF14">
        <v>1800</v>
      </c>
    </row>
    <row r="15" spans="1:32" x14ac:dyDescent="0.35">
      <c r="A15" t="s">
        <v>35</v>
      </c>
      <c r="B15" t="s">
        <v>38</v>
      </c>
      <c r="C15">
        <v>799</v>
      </c>
      <c r="D15">
        <v>778</v>
      </c>
      <c r="E15">
        <v>766</v>
      </c>
      <c r="F15">
        <v>742</v>
      </c>
      <c r="G15">
        <v>744</v>
      </c>
      <c r="H15">
        <v>736</v>
      </c>
      <c r="I15">
        <v>726</v>
      </c>
      <c r="J15">
        <v>728</v>
      </c>
      <c r="K15">
        <v>725</v>
      </c>
      <c r="L15">
        <v>720</v>
      </c>
      <c r="M15">
        <v>714</v>
      </c>
      <c r="N15">
        <v>712</v>
      </c>
      <c r="O15">
        <v>709</v>
      </c>
      <c r="P15">
        <v>709</v>
      </c>
      <c r="Q15">
        <v>702</v>
      </c>
      <c r="R15">
        <v>694</v>
      </c>
      <c r="S15">
        <v>689</v>
      </c>
      <c r="T15">
        <v>685</v>
      </c>
      <c r="U15">
        <v>680</v>
      </c>
      <c r="V15">
        <v>675</v>
      </c>
      <c r="W15">
        <v>671</v>
      </c>
      <c r="X15">
        <v>667</v>
      </c>
      <c r="Y15">
        <v>662</v>
      </c>
      <c r="Z15">
        <v>658</v>
      </c>
      <c r="AA15">
        <v>654</v>
      </c>
      <c r="AB15">
        <v>649</v>
      </c>
      <c r="AC15">
        <v>645</v>
      </c>
      <c r="AD15">
        <v>639</v>
      </c>
      <c r="AE15">
        <v>636</v>
      </c>
      <c r="AF15">
        <v>632</v>
      </c>
    </row>
    <row r="17" spans="1:32" x14ac:dyDescent="0.35">
      <c r="A17" t="s">
        <v>37</v>
      </c>
    </row>
    <row r="18" spans="1:32" x14ac:dyDescent="0.35">
      <c r="A18" t="s">
        <v>34</v>
      </c>
      <c r="B18" t="s">
        <v>39</v>
      </c>
      <c r="C18">
        <v>12563</v>
      </c>
      <c r="D18">
        <v>12623</v>
      </c>
      <c r="E18">
        <v>12680</v>
      </c>
      <c r="F18">
        <v>12738</v>
      </c>
      <c r="G18">
        <v>12797</v>
      </c>
      <c r="H18">
        <v>12855</v>
      </c>
      <c r="I18">
        <v>12911</v>
      </c>
      <c r="J18">
        <v>12968</v>
      </c>
      <c r="K18">
        <v>13015</v>
      </c>
      <c r="L18">
        <v>13061</v>
      </c>
      <c r="M18">
        <v>13107</v>
      </c>
      <c r="N18">
        <v>13154</v>
      </c>
      <c r="O18">
        <v>13200</v>
      </c>
      <c r="P18">
        <v>13247</v>
      </c>
      <c r="Q18">
        <v>13294</v>
      </c>
      <c r="R18">
        <v>13340</v>
      </c>
      <c r="S18">
        <v>13386</v>
      </c>
      <c r="T18">
        <v>13432</v>
      </c>
      <c r="U18">
        <v>13478</v>
      </c>
      <c r="V18">
        <v>13524</v>
      </c>
      <c r="W18">
        <v>13564</v>
      </c>
      <c r="X18">
        <v>13604</v>
      </c>
      <c r="Y18">
        <v>13644</v>
      </c>
      <c r="Z18">
        <v>13684</v>
      </c>
      <c r="AA18">
        <v>13724</v>
      </c>
      <c r="AB18">
        <v>13758</v>
      </c>
      <c r="AC18">
        <v>13792</v>
      </c>
      <c r="AD18">
        <v>13827</v>
      </c>
      <c r="AE18">
        <v>13861</v>
      </c>
      <c r="AF18">
        <v>13895</v>
      </c>
    </row>
    <row r="19" spans="1:32" x14ac:dyDescent="0.35">
      <c r="A19" t="s">
        <v>35</v>
      </c>
      <c r="B19" t="s">
        <v>39</v>
      </c>
      <c r="C19">
        <v>5773</v>
      </c>
      <c r="D19">
        <v>5812</v>
      </c>
      <c r="E19">
        <v>5834</v>
      </c>
      <c r="F19">
        <v>5875</v>
      </c>
      <c r="G19">
        <v>5946</v>
      </c>
      <c r="H19">
        <v>5993</v>
      </c>
      <c r="I19">
        <v>6045</v>
      </c>
      <c r="J19">
        <v>6113</v>
      </c>
      <c r="K19">
        <v>6170</v>
      </c>
      <c r="L19">
        <v>6234</v>
      </c>
      <c r="M19">
        <v>6272</v>
      </c>
      <c r="N19">
        <v>6323</v>
      </c>
      <c r="O19">
        <v>6367</v>
      </c>
      <c r="P19">
        <v>6405</v>
      </c>
      <c r="Q19">
        <v>6449</v>
      </c>
      <c r="R19">
        <v>6479</v>
      </c>
      <c r="S19">
        <v>6515</v>
      </c>
      <c r="T19">
        <v>6542</v>
      </c>
      <c r="U19">
        <v>6574</v>
      </c>
      <c r="V19">
        <v>6596</v>
      </c>
      <c r="W19">
        <v>6618</v>
      </c>
      <c r="X19">
        <v>6650</v>
      </c>
      <c r="Y19">
        <v>6672</v>
      </c>
      <c r="Z19">
        <v>6690</v>
      </c>
      <c r="AA19">
        <v>6719</v>
      </c>
      <c r="AB19">
        <v>6732</v>
      </c>
      <c r="AC19">
        <v>6749</v>
      </c>
      <c r="AD19">
        <v>6761</v>
      </c>
      <c r="AE19">
        <v>6793</v>
      </c>
      <c r="AF19">
        <v>6811</v>
      </c>
    </row>
    <row r="22" spans="1:32" x14ac:dyDescent="0.35">
      <c r="B22" t="s">
        <v>40</v>
      </c>
      <c r="C22" t="s">
        <v>42</v>
      </c>
      <c r="D22" t="s">
        <v>43</v>
      </c>
      <c r="E22" t="s">
        <v>44</v>
      </c>
      <c r="F22" t="s">
        <v>45</v>
      </c>
      <c r="G22" t="s">
        <v>48</v>
      </c>
    </row>
    <row r="23" spans="1:32" x14ac:dyDescent="0.35">
      <c r="B23" t="s">
        <v>41</v>
      </c>
      <c r="C23" t="s">
        <v>41</v>
      </c>
      <c r="D23" t="s">
        <v>46</v>
      </c>
      <c r="E23" t="s">
        <v>46</v>
      </c>
      <c r="G23" t="s">
        <v>49</v>
      </c>
      <c r="H23" t="s">
        <v>50</v>
      </c>
    </row>
    <row r="24" spans="1:32" x14ac:dyDescent="0.35">
      <c r="A24" t="s">
        <v>34</v>
      </c>
      <c r="B24" s="12">
        <f>SUM(C6:H6)*SUM(C18:AF18)/SUM(C18:AF19)</f>
        <v>1119381.8891890934</v>
      </c>
      <c r="C24" s="12">
        <f>SUM(C10:AF10)</f>
        <v>1091633</v>
      </c>
      <c r="D24" s="11">
        <f>C14*1000000000/(C18*1000000)</f>
        <v>190.32078325240786</v>
      </c>
      <c r="E24" s="11">
        <f>AF14*1000000000/(AF18*1000000)</f>
        <v>129.543001079525</v>
      </c>
      <c r="F24">
        <f>-(D24-E24)/D24</f>
        <v>-0.31934390524380069</v>
      </c>
      <c r="G24" s="13">
        <f>(B24+C24)*1000000000/(D24*AVERAGE(C18:AF18))</f>
        <v>874081945.12579596</v>
      </c>
      <c r="H24" s="14">
        <f>G24/3412000000000</f>
        <v>2.5617876469103047E-4</v>
      </c>
    </row>
    <row r="25" spans="1:32" x14ac:dyDescent="0.35">
      <c r="A25" t="s">
        <v>35</v>
      </c>
      <c r="B25" s="12">
        <f>SUM(C6:H6)-B24</f>
        <v>537650.07639928581</v>
      </c>
      <c r="C25" s="12">
        <f>SUM(C11:AF11)</f>
        <v>217722</v>
      </c>
      <c r="D25" s="11">
        <f>C15*1000000000/(C19*1000000)</f>
        <v>138.4029100987355</v>
      </c>
      <c r="E25" s="11">
        <f>AF15*1000000000/(AF19*1000000)</f>
        <v>92.791073263837916</v>
      </c>
      <c r="F25">
        <f>-(D25-E25)/D25</f>
        <v>-0.32955836551672563</v>
      </c>
      <c r="G25" s="13">
        <f>(B25+C25)*1000000000/(D25*AVERAGE(C19:AF19))</f>
        <v>854950493.90234363</v>
      </c>
      <c r="H25" s="14">
        <f>G25/3412000000000</f>
        <v>2.5057165706399284E-4</v>
      </c>
    </row>
    <row r="29" spans="1:32" x14ac:dyDescent="0.35">
      <c r="B29" s="11"/>
      <c r="C2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6CD-6318-4B74-895D-30922EB64AE0}">
  <dimension ref="A1:AO64"/>
  <sheetViews>
    <sheetView topLeftCell="A9" zoomScale="85" zoomScaleNormal="85" workbookViewId="0">
      <selection activeCell="X21" sqref="X21"/>
    </sheetView>
  </sheetViews>
  <sheetFormatPr defaultRowHeight="14.5" x14ac:dyDescent="0.35"/>
  <cols>
    <col min="4" max="19" width="4.08984375" customWidth="1"/>
  </cols>
  <sheetData>
    <row r="1" spans="1:41" x14ac:dyDescent="0.35">
      <c r="A1" s="1" t="s">
        <v>56</v>
      </c>
    </row>
    <row r="2" spans="1:41" x14ac:dyDescent="0.3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s="1" t="s">
        <v>77</v>
      </c>
      <c r="V2" t="s">
        <v>78</v>
      </c>
      <c r="W2" t="s">
        <v>79</v>
      </c>
      <c r="X2" t="s">
        <v>80</v>
      </c>
      <c r="Y2" t="s">
        <v>81</v>
      </c>
      <c r="Z2" s="1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</row>
    <row r="3" spans="1:41" x14ac:dyDescent="0.35">
      <c r="A3" t="s">
        <v>102</v>
      </c>
      <c r="B3" t="s">
        <v>38</v>
      </c>
      <c r="C3">
        <v>260.63893928947186</v>
      </c>
      <c r="D3">
        <v>256.27686928045847</v>
      </c>
      <c r="E3">
        <v>252.07872568763582</v>
      </c>
      <c r="F3">
        <v>247.885139114108</v>
      </c>
      <c r="G3">
        <v>243.76068682060327</v>
      </c>
      <c r="H3">
        <v>239.66692997558738</v>
      </c>
      <c r="I3">
        <v>235.5867772145898</v>
      </c>
      <c r="J3">
        <v>231.59207510593282</v>
      </c>
      <c r="K3">
        <v>227.56444419081868</v>
      </c>
      <c r="L3">
        <v>223.30118298622818</v>
      </c>
      <c r="M3">
        <v>219.17657636687483</v>
      </c>
      <c r="N3">
        <v>214.93572442573867</v>
      </c>
      <c r="O3">
        <v>210.78216945834791</v>
      </c>
      <c r="P3">
        <v>206.67550794858982</v>
      </c>
      <c r="Q3">
        <v>202.76400416493561</v>
      </c>
      <c r="R3">
        <v>198.82565487855294</v>
      </c>
      <c r="S3">
        <v>195.06782567984027</v>
      </c>
      <c r="T3">
        <v>191.28587324277919</v>
      </c>
      <c r="U3" s="1">
        <v>187.57000294958479</v>
      </c>
      <c r="V3">
        <v>183.94357361191973</v>
      </c>
      <c r="W3">
        <v>180.31233992585015</v>
      </c>
      <c r="X3">
        <v>176.84331928006677</v>
      </c>
      <c r="Y3">
        <v>173.47485477680567</v>
      </c>
      <c r="Z3" s="1">
        <v>170.17943390356746</v>
      </c>
      <c r="AA3">
        <v>166.88928432655783</v>
      </c>
      <c r="AB3">
        <v>163.7261220379628</v>
      </c>
      <c r="AC3">
        <v>160.65495320778331</v>
      </c>
      <c r="AD3">
        <v>157.68240337337201</v>
      </c>
      <c r="AE3">
        <v>154.76659681433796</v>
      </c>
      <c r="AF3">
        <v>151.90500570363477</v>
      </c>
      <c r="AG3">
        <v>149.13990255844587</v>
      </c>
      <c r="AH3">
        <v>146.36057850698745</v>
      </c>
      <c r="AI3">
        <v>143.68927031261205</v>
      </c>
      <c r="AJ3">
        <v>141.12169833290568</v>
      </c>
      <c r="AK3">
        <v>138.61551117720535</v>
      </c>
      <c r="AL3">
        <v>136.13619167279776</v>
      </c>
      <c r="AM3">
        <v>133.63900670285904</v>
      </c>
      <c r="AN3">
        <v>131.30860408752028</v>
      </c>
      <c r="AO3">
        <v>129.02298906901726</v>
      </c>
    </row>
    <row r="4" spans="1:41" x14ac:dyDescent="0.35">
      <c r="A4" t="s">
        <v>98</v>
      </c>
      <c r="B4" t="s">
        <v>38</v>
      </c>
      <c r="C4">
        <v>345.72387996362073</v>
      </c>
      <c r="D4">
        <v>341.19012754459908</v>
      </c>
      <c r="E4">
        <v>336.73778705554531</v>
      </c>
      <c r="F4">
        <v>332.37245615987638</v>
      </c>
      <c r="G4">
        <v>327.79912081096876</v>
      </c>
      <c r="H4">
        <v>323.31901996682325</v>
      </c>
      <c r="I4">
        <v>318.77581270076348</v>
      </c>
      <c r="J4">
        <v>314.2795758825489</v>
      </c>
      <c r="K4">
        <v>309.66250673551627</v>
      </c>
      <c r="L4">
        <v>304.81373539171915</v>
      </c>
      <c r="M4">
        <v>299.95769439106135</v>
      </c>
      <c r="N4">
        <v>295.10939318136366</v>
      </c>
      <c r="O4">
        <v>290.0420427422477</v>
      </c>
      <c r="P4">
        <v>285.13686332947429</v>
      </c>
      <c r="Q4">
        <v>280.28260799940466</v>
      </c>
      <c r="R4">
        <v>275.56748482328601</v>
      </c>
      <c r="S4">
        <v>270.75981935717687</v>
      </c>
      <c r="T4">
        <v>265.98095537099806</v>
      </c>
      <c r="U4" s="1">
        <v>261.22714728875513</v>
      </c>
      <c r="V4">
        <v>256.62983384586482</v>
      </c>
      <c r="W4">
        <v>251.94047974569062</v>
      </c>
      <c r="X4">
        <v>247.40799389118433</v>
      </c>
      <c r="Y4">
        <v>243.00239013465986</v>
      </c>
      <c r="Z4" s="1">
        <v>238.58018631793604</v>
      </c>
      <c r="AA4">
        <v>234.25447641047816</v>
      </c>
      <c r="AB4">
        <v>230.07557550887148</v>
      </c>
      <c r="AC4">
        <v>225.94365240237008</v>
      </c>
      <c r="AD4">
        <v>221.86582105174017</v>
      </c>
      <c r="AE4">
        <v>217.89361731285541</v>
      </c>
      <c r="AF4">
        <v>213.93939008429695</v>
      </c>
      <c r="AG4">
        <v>210.14221094234236</v>
      </c>
      <c r="AH4">
        <v>206.25084966188544</v>
      </c>
      <c r="AI4">
        <v>202.46116746604574</v>
      </c>
      <c r="AJ4">
        <v>198.66882899128376</v>
      </c>
      <c r="AK4">
        <v>194.90262591489579</v>
      </c>
      <c r="AL4">
        <v>191.25478707091096</v>
      </c>
      <c r="AM4">
        <v>187.74234611636803</v>
      </c>
      <c r="AN4">
        <v>184.2281552547098</v>
      </c>
      <c r="AO4">
        <v>180.79786263740598</v>
      </c>
    </row>
    <row r="5" spans="1:41" x14ac:dyDescent="0.35">
      <c r="A5" t="s">
        <v>99</v>
      </c>
      <c r="B5" t="s">
        <v>38</v>
      </c>
      <c r="C5">
        <v>189.66461975267705</v>
      </c>
      <c r="D5">
        <v>189.32049525695032</v>
      </c>
      <c r="E5">
        <v>188.95011865798278</v>
      </c>
      <c r="F5">
        <v>188.5574110177898</v>
      </c>
      <c r="G5">
        <v>188.14071730602751</v>
      </c>
      <c r="H5">
        <v>187.68315554020333</v>
      </c>
      <c r="I5">
        <v>187.20940332322908</v>
      </c>
      <c r="J5">
        <v>186.74940136600023</v>
      </c>
      <c r="K5">
        <v>184.92479220774541</v>
      </c>
      <c r="L5">
        <v>182.97746906663383</v>
      </c>
      <c r="M5">
        <v>181.04523831380928</v>
      </c>
      <c r="N5">
        <v>178.98596593994759</v>
      </c>
      <c r="O5">
        <v>176.85226794235453</v>
      </c>
      <c r="P5">
        <v>174.77495608003883</v>
      </c>
      <c r="Q5">
        <v>172.77573509575629</v>
      </c>
      <c r="R5">
        <v>170.7979873253251</v>
      </c>
      <c r="S5">
        <v>168.87063177693696</v>
      </c>
      <c r="T5">
        <v>166.95184760905991</v>
      </c>
      <c r="U5" s="1">
        <v>165.11212913687316</v>
      </c>
      <c r="V5">
        <v>163.24433368802949</v>
      </c>
      <c r="W5">
        <v>161.37549703036706</v>
      </c>
      <c r="X5">
        <v>159.55469494114865</v>
      </c>
      <c r="Y5">
        <v>157.78463920657043</v>
      </c>
      <c r="Z5" s="1">
        <v>156.03400714170056</v>
      </c>
      <c r="AA5">
        <v>154.332660754887</v>
      </c>
      <c r="AB5">
        <v>152.57192698937325</v>
      </c>
      <c r="AC5">
        <v>150.85724302370755</v>
      </c>
      <c r="AD5">
        <v>149.15113638086237</v>
      </c>
      <c r="AE5">
        <v>147.50684253786557</v>
      </c>
      <c r="AF5">
        <v>145.81803788046648</v>
      </c>
      <c r="AG5">
        <v>144.18950032116479</v>
      </c>
      <c r="AH5">
        <v>142.58548727270127</v>
      </c>
      <c r="AI5">
        <v>141.01680098713396</v>
      </c>
      <c r="AJ5">
        <v>139.46464684873825</v>
      </c>
      <c r="AK5">
        <v>137.85526963196216</v>
      </c>
      <c r="AL5">
        <v>136.24164131907008</v>
      </c>
      <c r="AM5">
        <v>134.67495270621845</v>
      </c>
      <c r="AN5">
        <v>133.12815654664033</v>
      </c>
      <c r="AO5">
        <v>131.60121183788146</v>
      </c>
    </row>
    <row r="6" spans="1:41" x14ac:dyDescent="0.35">
      <c r="A6" t="s">
        <v>100</v>
      </c>
      <c r="B6" t="s">
        <v>38</v>
      </c>
      <c r="C6">
        <v>0</v>
      </c>
      <c r="D6">
        <v>8.4084692833843384</v>
      </c>
      <c r="E6">
        <v>17.60219374091395</v>
      </c>
      <c r="F6">
        <v>25.790586895263633</v>
      </c>
      <c r="G6">
        <v>33.344732642944322</v>
      </c>
      <c r="H6">
        <v>44.295889504397245</v>
      </c>
      <c r="I6">
        <v>49.252166775991967</v>
      </c>
      <c r="J6">
        <v>55.844312107164292</v>
      </c>
      <c r="K6">
        <v>59.440543499673147</v>
      </c>
      <c r="L6">
        <v>59.378398404075909</v>
      </c>
      <c r="M6">
        <v>59.302350775986078</v>
      </c>
      <c r="N6">
        <v>59.198965658024051</v>
      </c>
      <c r="O6">
        <v>59.065400455244252</v>
      </c>
      <c r="P6">
        <v>58.907316309162219</v>
      </c>
      <c r="Q6">
        <v>58.729204826737124</v>
      </c>
      <c r="R6">
        <v>58.537668011196615</v>
      </c>
      <c r="S6">
        <v>58.318746670460648</v>
      </c>
      <c r="T6">
        <v>58.080725943130822</v>
      </c>
      <c r="U6" s="1">
        <v>57.888328597018806</v>
      </c>
      <c r="V6">
        <v>57.657256835567864</v>
      </c>
      <c r="W6">
        <v>57.426195374475903</v>
      </c>
      <c r="X6">
        <v>57.212620453182552</v>
      </c>
      <c r="Y6">
        <v>56.602571186320304</v>
      </c>
      <c r="Z6" s="1">
        <v>56.004000962677161</v>
      </c>
      <c r="AA6">
        <v>55.432457948095816</v>
      </c>
      <c r="AB6">
        <v>54.888460349494451</v>
      </c>
      <c r="AC6">
        <v>54.345278356706899</v>
      </c>
      <c r="AD6">
        <v>53.819170629350893</v>
      </c>
      <c r="AE6">
        <v>53.320800616983021</v>
      </c>
      <c r="AF6">
        <v>52.857661576575914</v>
      </c>
      <c r="AG6">
        <v>52.401627468239589</v>
      </c>
      <c r="AH6">
        <v>51.959513213968748</v>
      </c>
      <c r="AI6">
        <v>51.530779157943499</v>
      </c>
      <c r="AJ6">
        <v>51.087346480019903</v>
      </c>
      <c r="AK6">
        <v>50.660554404968295</v>
      </c>
      <c r="AL6">
        <v>50.249085543721812</v>
      </c>
      <c r="AM6">
        <v>49.844001917961116</v>
      </c>
      <c r="AN6">
        <v>49.447316851261384</v>
      </c>
      <c r="AO6">
        <v>49.050159254654901</v>
      </c>
    </row>
    <row r="7" spans="1:41" x14ac:dyDescent="0.35">
      <c r="A7" t="s">
        <v>101</v>
      </c>
      <c r="B7" t="s">
        <v>38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3.3982290834624118</v>
      </c>
      <c r="M7">
        <v>8.0696539972987846</v>
      </c>
      <c r="N7">
        <v>11.702779173320282</v>
      </c>
      <c r="O7">
        <v>16.224103191345648</v>
      </c>
      <c r="P7">
        <v>22.378587435735387</v>
      </c>
      <c r="Q7">
        <v>27.036655450840044</v>
      </c>
      <c r="R7">
        <v>31.998649748015506</v>
      </c>
      <c r="S7">
        <v>37.68660622295986</v>
      </c>
      <c r="T7">
        <v>43.067232727325461</v>
      </c>
      <c r="U7" s="1">
        <v>48.338677271911635</v>
      </c>
      <c r="V7">
        <v>52.503944623254007</v>
      </c>
      <c r="W7">
        <v>57.232491646606377</v>
      </c>
      <c r="X7">
        <v>61.544515125038707</v>
      </c>
      <c r="Y7">
        <v>65.972000241146404</v>
      </c>
      <c r="Z7" s="1">
        <v>70.621247439738653</v>
      </c>
      <c r="AA7">
        <v>74.450711191076209</v>
      </c>
      <c r="AB7">
        <v>78.624619381904779</v>
      </c>
      <c r="AC7">
        <v>82.145985235798122</v>
      </c>
      <c r="AD7">
        <v>85.801326622714569</v>
      </c>
      <c r="AE7">
        <v>89.297461644965281</v>
      </c>
      <c r="AF7">
        <v>92.564305539952827</v>
      </c>
      <c r="AG7">
        <v>96.179908251809707</v>
      </c>
      <c r="AH7">
        <v>99.452373370634234</v>
      </c>
      <c r="AI7">
        <v>102.57552565650857</v>
      </c>
      <c r="AJ7">
        <v>106.13735909877948</v>
      </c>
      <c r="AK7">
        <v>108.82101506136792</v>
      </c>
      <c r="AL7">
        <v>111.82213782389692</v>
      </c>
      <c r="AM7">
        <v>114.50232201941006</v>
      </c>
      <c r="AN7">
        <v>118.21904843358608</v>
      </c>
      <c r="AO7">
        <v>121.21271741435925</v>
      </c>
    </row>
    <row r="8" spans="1:41" x14ac:dyDescent="0.35">
      <c r="A8" t="s">
        <v>103</v>
      </c>
      <c r="C8">
        <f>SUM(C3:C7)</f>
        <v>796.02743900576957</v>
      </c>
      <c r="D8">
        <f t="shared" ref="D8:AO8" si="0">SUM(D3:D7)</f>
        <v>795.19596136539224</v>
      </c>
      <c r="E8">
        <f t="shared" si="0"/>
        <v>795.36882514207798</v>
      </c>
      <c r="F8">
        <f t="shared" si="0"/>
        <v>794.60559318703793</v>
      </c>
      <c r="G8">
        <f t="shared" si="0"/>
        <v>793.04525758054388</v>
      </c>
      <c r="H8">
        <f t="shared" si="0"/>
        <v>794.9649949870111</v>
      </c>
      <c r="I8">
        <f t="shared" si="0"/>
        <v>790.82416001457432</v>
      </c>
      <c r="J8">
        <f t="shared" si="0"/>
        <v>788.46536446164635</v>
      </c>
      <c r="K8">
        <f t="shared" si="0"/>
        <v>781.59228663375347</v>
      </c>
      <c r="L8">
        <f t="shared" si="0"/>
        <v>773.86901493211951</v>
      </c>
      <c r="M8">
        <f t="shared" si="0"/>
        <v>767.55151384503029</v>
      </c>
      <c r="N8">
        <f t="shared" si="0"/>
        <v>759.93282837839422</v>
      </c>
      <c r="O8">
        <f t="shared" si="0"/>
        <v>752.96598378954002</v>
      </c>
      <c r="P8">
        <f t="shared" si="0"/>
        <v>747.87323110300053</v>
      </c>
      <c r="Q8">
        <f t="shared" si="0"/>
        <v>741.58820753767372</v>
      </c>
      <c r="R8">
        <f t="shared" si="0"/>
        <v>735.72744478637617</v>
      </c>
      <c r="S8">
        <f t="shared" si="0"/>
        <v>730.7036297073746</v>
      </c>
      <c r="T8">
        <f t="shared" si="0"/>
        <v>725.36663489329339</v>
      </c>
      <c r="U8">
        <f t="shared" si="0"/>
        <v>720.13628524414344</v>
      </c>
      <c r="V8">
        <f t="shared" si="0"/>
        <v>713.97894260463602</v>
      </c>
      <c r="W8">
        <f t="shared" si="0"/>
        <v>708.28700372299011</v>
      </c>
      <c r="X8">
        <f t="shared" si="0"/>
        <v>702.56314369062113</v>
      </c>
      <c r="Y8">
        <f t="shared" si="0"/>
        <v>696.83645554550264</v>
      </c>
      <c r="Z8">
        <f t="shared" si="0"/>
        <v>691.41887576561987</v>
      </c>
      <c r="AA8">
        <f t="shared" si="0"/>
        <v>685.35959063109499</v>
      </c>
      <c r="AB8">
        <f t="shared" si="0"/>
        <v>679.88670426760677</v>
      </c>
      <c r="AC8">
        <f t="shared" si="0"/>
        <v>673.94711222636602</v>
      </c>
      <c r="AD8">
        <f t="shared" si="0"/>
        <v>668.31985805803993</v>
      </c>
      <c r="AE8">
        <f t="shared" si="0"/>
        <v>662.78531892700721</v>
      </c>
      <c r="AF8">
        <f t="shared" si="0"/>
        <v>657.08440078492686</v>
      </c>
      <c r="AG8">
        <f t="shared" si="0"/>
        <v>652.0531495420023</v>
      </c>
      <c r="AH8">
        <f t="shared" si="0"/>
        <v>646.60880202617705</v>
      </c>
      <c r="AI8">
        <f t="shared" si="0"/>
        <v>641.27354358024377</v>
      </c>
      <c r="AJ8">
        <f t="shared" si="0"/>
        <v>636.47987975172703</v>
      </c>
      <c r="AK8">
        <f t="shared" si="0"/>
        <v>630.8549761903995</v>
      </c>
      <c r="AL8">
        <f t="shared" si="0"/>
        <v>625.70384343039757</v>
      </c>
      <c r="AM8">
        <f t="shared" si="0"/>
        <v>620.40262946281666</v>
      </c>
      <c r="AN8">
        <f t="shared" si="0"/>
        <v>616.33128117371791</v>
      </c>
      <c r="AO8">
        <f t="shared" si="0"/>
        <v>611.6849402133189</v>
      </c>
    </row>
    <row r="10" spans="1:41" x14ac:dyDescent="0.35">
      <c r="A10" s="1" t="s">
        <v>104</v>
      </c>
    </row>
    <row r="11" spans="1:41" x14ac:dyDescent="0.35">
      <c r="A11" t="s">
        <v>102</v>
      </c>
      <c r="B11" t="s">
        <v>105</v>
      </c>
      <c r="C11">
        <v>1545701770.125</v>
      </c>
      <c r="D11">
        <v>1534642469.8919525</v>
      </c>
      <c r="E11">
        <v>1523739817.5109086</v>
      </c>
      <c r="F11">
        <v>1512869704.169076</v>
      </c>
      <c r="G11">
        <v>1502128254.0587902</v>
      </c>
      <c r="H11">
        <v>1491488820.6302865</v>
      </c>
      <c r="I11">
        <v>1480767322.8452265</v>
      </c>
      <c r="J11">
        <v>1470137540.8372386</v>
      </c>
      <c r="K11">
        <v>1459570888.7345819</v>
      </c>
      <c r="L11">
        <v>1449083473.1517687</v>
      </c>
      <c r="M11">
        <v>1438719419.0448055</v>
      </c>
      <c r="N11">
        <v>1428424387.7016413</v>
      </c>
      <c r="O11">
        <v>1418269550.1065996</v>
      </c>
      <c r="P11">
        <v>1408210442.6777477</v>
      </c>
      <c r="Q11">
        <v>1398241382.6684568</v>
      </c>
      <c r="R11">
        <v>1388338713.698801</v>
      </c>
      <c r="S11">
        <v>1378538423.0520175</v>
      </c>
      <c r="T11">
        <v>1368766729.213227</v>
      </c>
      <c r="U11">
        <v>1359076095.4949491</v>
      </c>
      <c r="V11">
        <v>1349409913.8522403</v>
      </c>
      <c r="W11">
        <v>1339773269.6308401</v>
      </c>
      <c r="X11">
        <v>1330211150.2494438</v>
      </c>
      <c r="Y11">
        <v>1320729340.3662803</v>
      </c>
      <c r="Z11">
        <v>1311290036.4660738</v>
      </c>
      <c r="AA11">
        <v>1301911520.1457057</v>
      </c>
      <c r="AB11">
        <v>1292628354.2292738</v>
      </c>
      <c r="AC11">
        <v>1283374504.1096334</v>
      </c>
      <c r="AD11">
        <v>1274185977.1510439</v>
      </c>
      <c r="AE11">
        <v>1265025692.7600064</v>
      </c>
      <c r="AF11">
        <v>1255945106.5429585</v>
      </c>
      <c r="AG11">
        <v>1246959051.3877869</v>
      </c>
      <c r="AH11">
        <v>1237978981.5494945</v>
      </c>
      <c r="AI11">
        <v>1229046953.7621467</v>
      </c>
      <c r="AJ11">
        <v>1220207963.9596148</v>
      </c>
      <c r="AK11">
        <v>1211409955.8368075</v>
      </c>
      <c r="AL11">
        <v>1202673269.9257338</v>
      </c>
      <c r="AM11">
        <v>1193983007.1292901</v>
      </c>
      <c r="AN11">
        <v>1185385274.8867993</v>
      </c>
      <c r="AO11">
        <v>1176823429.0120325</v>
      </c>
    </row>
    <row r="12" spans="1:41" x14ac:dyDescent="0.35">
      <c r="A12" t="s">
        <v>98</v>
      </c>
      <c r="B12" t="s">
        <v>105</v>
      </c>
      <c r="C12">
        <v>2060935693.5</v>
      </c>
      <c r="D12">
        <v>2042275163.3132641</v>
      </c>
      <c r="E12">
        <v>2023914147.5039585</v>
      </c>
      <c r="F12">
        <v>2005642707.6619689</v>
      </c>
      <c r="G12">
        <v>1987621977.0213895</v>
      </c>
      <c r="H12">
        <v>1969806293.4432237</v>
      </c>
      <c r="I12">
        <v>1951887182.2807832</v>
      </c>
      <c r="J12">
        <v>1934155526.2469637</v>
      </c>
      <c r="K12">
        <v>1916563023.3710897</v>
      </c>
      <c r="L12">
        <v>1899136007.9837737</v>
      </c>
      <c r="M12">
        <v>1881947077.5174427</v>
      </c>
      <c r="N12">
        <v>1864905294.7274187</v>
      </c>
      <c r="O12">
        <v>1848127756.6536748</v>
      </c>
      <c r="P12">
        <v>1831539980.9277525</v>
      </c>
      <c r="Q12">
        <v>1815131875.6812041</v>
      </c>
      <c r="R12">
        <v>1798863900.6194332</v>
      </c>
      <c r="S12">
        <v>1782794591.8453181</v>
      </c>
      <c r="T12">
        <v>1766802436.3054736</v>
      </c>
      <c r="U12">
        <v>1750972991.0042655</v>
      </c>
      <c r="V12">
        <v>1735213361.3345437</v>
      </c>
      <c r="W12">
        <v>1719531787.1735709</v>
      </c>
      <c r="X12">
        <v>1704001190.2785456</v>
      </c>
      <c r="Y12">
        <v>1688630441.1756821</v>
      </c>
      <c r="Z12">
        <v>1673357771.5259085</v>
      </c>
      <c r="AA12">
        <v>1658212442.7058692</v>
      </c>
      <c r="AB12">
        <v>1643249803.4294565</v>
      </c>
      <c r="AC12">
        <v>1628362844.5654836</v>
      </c>
      <c r="AD12">
        <v>1613609249.8796332</v>
      </c>
      <c r="AE12">
        <v>1598929191.2095828</v>
      </c>
      <c r="AF12">
        <v>1584404834.0045245</v>
      </c>
      <c r="AG12">
        <v>1570059258.8434894</v>
      </c>
      <c r="AH12">
        <v>1555750685.6043575</v>
      </c>
      <c r="AI12">
        <v>1541546049.9887047</v>
      </c>
      <c r="AJ12">
        <v>1527516522.9806113</v>
      </c>
      <c r="AK12">
        <v>1513578897.169668</v>
      </c>
      <c r="AL12">
        <v>1499765111.4971585</v>
      </c>
      <c r="AM12">
        <v>1486051210.6588209</v>
      </c>
      <c r="AN12">
        <v>1472509588.9815304</v>
      </c>
      <c r="AO12">
        <v>1459050433.3190351</v>
      </c>
    </row>
    <row r="13" spans="1:41" x14ac:dyDescent="0.35">
      <c r="A13" t="s">
        <v>99</v>
      </c>
      <c r="B13" t="s">
        <v>105</v>
      </c>
      <c r="C13">
        <v>1545701770.125</v>
      </c>
      <c r="D13">
        <v>1544647450.1694493</v>
      </c>
      <c r="E13">
        <v>1543601286.9836273</v>
      </c>
      <c r="F13">
        <v>1542551493.8687465</v>
      </c>
      <c r="G13">
        <v>1541507383.5929551</v>
      </c>
      <c r="H13">
        <v>1540466497.6148741</v>
      </c>
      <c r="I13">
        <v>1539410816.235429</v>
      </c>
      <c r="J13">
        <v>1538357306.1732795</v>
      </c>
      <c r="K13">
        <v>1526468896.8105855</v>
      </c>
      <c r="L13">
        <v>1514676063.5065722</v>
      </c>
      <c r="M13">
        <v>1503028301.6954579</v>
      </c>
      <c r="N13">
        <v>1491464372.4260473</v>
      </c>
      <c r="O13">
        <v>1480064088.2551887</v>
      </c>
      <c r="P13">
        <v>1468777356.5352588</v>
      </c>
      <c r="Q13">
        <v>1457597673.3702185</v>
      </c>
      <c r="R13">
        <v>1446498404.8611186</v>
      </c>
      <c r="S13">
        <v>1435519795.5725517</v>
      </c>
      <c r="T13">
        <v>1424579055.9414852</v>
      </c>
      <c r="U13">
        <v>1413734919.1825666</v>
      </c>
      <c r="V13">
        <v>1402923949.1958196</v>
      </c>
      <c r="W13">
        <v>1392151805.0023856</v>
      </c>
      <c r="X13">
        <v>1381468777.8016009</v>
      </c>
      <c r="Y13">
        <v>1370881185.4543021</v>
      </c>
      <c r="Z13">
        <v>1360346743.8723862</v>
      </c>
      <c r="AA13">
        <v>1349885829.9075</v>
      </c>
      <c r="AB13">
        <v>1339536847.1870847</v>
      </c>
      <c r="AC13">
        <v>1329226133.1535454</v>
      </c>
      <c r="AD13">
        <v>1318993763.6222181</v>
      </c>
      <c r="AE13">
        <v>1308798376.384568</v>
      </c>
      <c r="AF13">
        <v>1298697193.2403512</v>
      </c>
      <c r="AG13">
        <v>1288706614.1744671</v>
      </c>
      <c r="AH13">
        <v>1278728076.841296</v>
      </c>
      <c r="AI13">
        <v>1268808341.3104055</v>
      </c>
      <c r="AJ13">
        <v>1258997300.0829699</v>
      </c>
      <c r="AK13">
        <v>1249237063.7535686</v>
      </c>
      <c r="AL13">
        <v>1239550147.6456351</v>
      </c>
      <c r="AM13">
        <v>1229919969.898483</v>
      </c>
      <c r="AN13">
        <v>1220397543.5057945</v>
      </c>
      <c r="AO13">
        <v>1210920037.0967894</v>
      </c>
    </row>
    <row r="14" spans="1:41" x14ac:dyDescent="0.35">
      <c r="A14" t="s">
        <v>100</v>
      </c>
      <c r="B14" t="s">
        <v>105</v>
      </c>
      <c r="C14">
        <v>0</v>
      </c>
      <c r="D14">
        <v>125808386.1421732</v>
      </c>
      <c r="E14">
        <v>253326098.50691557</v>
      </c>
      <c r="F14">
        <v>366697678.60255927</v>
      </c>
      <c r="G14">
        <v>478417593.76247805</v>
      </c>
      <c r="H14">
        <v>636827781.95795453</v>
      </c>
      <c r="I14">
        <v>706077264.52340484</v>
      </c>
      <c r="J14">
        <v>794500158.67708671</v>
      </c>
      <c r="K14">
        <v>853894259.5546124</v>
      </c>
      <c r="L14">
        <v>853311080.47934127</v>
      </c>
      <c r="M14">
        <v>852731238.82937801</v>
      </c>
      <c r="N14">
        <v>852151145.48319364</v>
      </c>
      <c r="O14">
        <v>851575469.99493396</v>
      </c>
      <c r="P14">
        <v>851002020.24374402</v>
      </c>
      <c r="Q14">
        <v>850429979.43413138</v>
      </c>
      <c r="R14">
        <v>849857748.79799986</v>
      </c>
      <c r="S14">
        <v>849287548.75920069</v>
      </c>
      <c r="T14">
        <v>848715632.36646736</v>
      </c>
      <c r="U14">
        <v>848144399.36893713</v>
      </c>
      <c r="V14">
        <v>847570561.41169465</v>
      </c>
      <c r="W14">
        <v>846995986.48561096</v>
      </c>
      <c r="X14">
        <v>846420893.99988484</v>
      </c>
      <c r="Y14">
        <v>839955707.09018159</v>
      </c>
      <c r="Z14">
        <v>833530153.48490763</v>
      </c>
      <c r="AA14">
        <v>827133907.56417513</v>
      </c>
      <c r="AB14">
        <v>820818552.97293663</v>
      </c>
      <c r="AC14">
        <v>814520873.3887639</v>
      </c>
      <c r="AD14">
        <v>808269125.9330194</v>
      </c>
      <c r="AE14">
        <v>802038131.0463897</v>
      </c>
      <c r="AF14">
        <v>795865155.01296937</v>
      </c>
      <c r="AG14">
        <v>789752884.93154883</v>
      </c>
      <c r="AH14">
        <v>783654364.29179668</v>
      </c>
      <c r="AI14">
        <v>777588336.94842887</v>
      </c>
      <c r="AJ14">
        <v>771586209.00692403</v>
      </c>
      <c r="AK14">
        <v>765619340.50867522</v>
      </c>
      <c r="AL14">
        <v>759697704.50085855</v>
      </c>
      <c r="AM14">
        <v>753805179.97505522</v>
      </c>
      <c r="AN14">
        <v>747985406.37755096</v>
      </c>
      <c r="AO14">
        <v>742191791.43365788</v>
      </c>
    </row>
    <row r="15" spans="1:41" x14ac:dyDescent="0.35">
      <c r="A15" t="s">
        <v>101</v>
      </c>
      <c r="B15" t="s">
        <v>105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56634006.449162133</v>
      </c>
      <c r="M15">
        <v>135309087.06544811</v>
      </c>
      <c r="N15">
        <v>196776621.26842582</v>
      </c>
      <c r="O15">
        <v>277125989.57607102</v>
      </c>
      <c r="P15">
        <v>386812198.70544159</v>
      </c>
      <c r="Q15">
        <v>471742086.62456691</v>
      </c>
      <c r="R15">
        <v>561657038.31471312</v>
      </c>
      <c r="S15">
        <v>666961724.85200024</v>
      </c>
      <c r="T15">
        <v>761312641.31821966</v>
      </c>
      <c r="U15">
        <v>861591594.07597315</v>
      </c>
      <c r="V15">
        <v>936852844.26207185</v>
      </c>
      <c r="W15">
        <v>1024575833.2228563</v>
      </c>
      <c r="X15">
        <v>1104642421.6828072</v>
      </c>
      <c r="Y15">
        <v>1184810479.3352437</v>
      </c>
      <c r="Z15">
        <v>1270881882.3443985</v>
      </c>
      <c r="AA15">
        <v>1342134019.1413689</v>
      </c>
      <c r="AB15">
        <v>1419118874.5283573</v>
      </c>
      <c r="AC15">
        <v>1486213212.3848672</v>
      </c>
      <c r="AD15">
        <v>1558862947.5729101</v>
      </c>
      <c r="AE15">
        <v>1621379526.8366625</v>
      </c>
      <c r="AF15">
        <v>1682982710.9294062</v>
      </c>
      <c r="AG15">
        <v>1754333035.7381015</v>
      </c>
      <c r="AH15">
        <v>1815556450.2764637</v>
      </c>
      <c r="AI15">
        <v>1873249597.592515</v>
      </c>
      <c r="AJ15">
        <v>1940758247.8497729</v>
      </c>
      <c r="AK15">
        <v>1992370778.7950628</v>
      </c>
      <c r="AL15">
        <v>2047492889.5613465</v>
      </c>
      <c r="AM15">
        <v>2097441151.0541191</v>
      </c>
      <c r="AN15">
        <v>2166716082.2783566</v>
      </c>
      <c r="AO15">
        <v>2222011398.9164119</v>
      </c>
    </row>
    <row r="16" spans="1:41" x14ac:dyDescent="0.35">
      <c r="T16" s="5" t="s">
        <v>121</v>
      </c>
      <c r="U16" s="29">
        <f>SUM(U11)/SUM(U11:U14)</f>
        <v>0.25299594354555016</v>
      </c>
      <c r="V16" s="27"/>
      <c r="Z16" s="27">
        <f>SUM(Z11)/SUM(Z11:Z14)</f>
        <v>0.25321691235952715</v>
      </c>
    </row>
    <row r="17" spans="1:41" x14ac:dyDescent="0.35">
      <c r="A17" s="1" t="s">
        <v>106</v>
      </c>
      <c r="U17" s="27"/>
      <c r="V17" s="27"/>
      <c r="W17" s="27"/>
    </row>
    <row r="18" spans="1:41" x14ac:dyDescent="0.35">
      <c r="A18" t="s">
        <v>102</v>
      </c>
      <c r="C18">
        <f t="shared" ref="C18:AO18" si="1">C3*10^9/C11</f>
        <v>168.62175118580225</v>
      </c>
      <c r="D18">
        <f t="shared" si="1"/>
        <v>166.9945113004085</v>
      </c>
      <c r="E18">
        <f t="shared" si="1"/>
        <v>165.43423148147218</v>
      </c>
      <c r="F18">
        <f t="shared" si="1"/>
        <v>163.8509505683146</v>
      </c>
      <c r="G18">
        <f t="shared" si="1"/>
        <v>162.27688026102663</v>
      </c>
      <c r="H18">
        <f t="shared" si="1"/>
        <v>160.68972603784371</v>
      </c>
      <c r="I18">
        <f t="shared" si="1"/>
        <v>159.09776882563872</v>
      </c>
      <c r="J18">
        <f t="shared" si="1"/>
        <v>157.53088991526732</v>
      </c>
      <c r="K18">
        <f t="shared" si="1"/>
        <v>155.91188201082332</v>
      </c>
      <c r="L18">
        <f t="shared" si="1"/>
        <v>154.09821940798636</v>
      </c>
      <c r="M18">
        <f t="shared" si="1"/>
        <v>152.34143187723879</v>
      </c>
      <c r="N18">
        <f t="shared" si="1"/>
        <v>150.4704948167217</v>
      </c>
      <c r="O18">
        <f t="shared" si="1"/>
        <v>148.61925890075349</v>
      </c>
      <c r="P18">
        <f t="shared" si="1"/>
        <v>146.7646465932969</v>
      </c>
      <c r="Q18">
        <f t="shared" si="1"/>
        <v>145.01359112828794</v>
      </c>
      <c r="R18">
        <f t="shared" si="1"/>
        <v>143.21120121244996</v>
      </c>
      <c r="S18">
        <f t="shared" si="1"/>
        <v>141.5033650262497</v>
      </c>
      <c r="T18">
        <f t="shared" si="1"/>
        <v>139.75052809234421</v>
      </c>
      <c r="U18">
        <f t="shared" si="1"/>
        <v>138.01287769782709</v>
      </c>
      <c r="V18">
        <f t="shared" si="1"/>
        <v>136.31408197291594</v>
      </c>
      <c r="W18">
        <f t="shared" si="1"/>
        <v>134.5842195937625</v>
      </c>
      <c r="X18">
        <f t="shared" si="1"/>
        <v>132.94379561237685</v>
      </c>
      <c r="Y18">
        <f t="shared" si="1"/>
        <v>131.3477708677961</v>
      </c>
      <c r="Z18">
        <f t="shared" si="1"/>
        <v>129.78016241334447</v>
      </c>
      <c r="AA18">
        <f t="shared" si="1"/>
        <v>128.18788507830405</v>
      </c>
      <c r="AB18">
        <f t="shared" si="1"/>
        <v>126.66140387705178</v>
      </c>
      <c r="AC18">
        <f t="shared" si="1"/>
        <v>125.18166185578141</v>
      </c>
      <c r="AD18">
        <f t="shared" si="1"/>
        <v>123.75148228042389</v>
      </c>
      <c r="AE18">
        <f t="shared" si="1"/>
        <v>122.34265098337366</v>
      </c>
      <c r="AF18">
        <f t="shared" si="1"/>
        <v>120.94876194211994</v>
      </c>
      <c r="AG18">
        <f t="shared" si="1"/>
        <v>119.60288703342948</v>
      </c>
      <c r="AH18">
        <f t="shared" si="1"/>
        <v>118.22541471891374</v>
      </c>
      <c r="AI18">
        <f t="shared" si="1"/>
        <v>116.91113172916236</v>
      </c>
      <c r="AJ18">
        <f t="shared" si="1"/>
        <v>115.65380861387032</v>
      </c>
      <c r="AK18">
        <f t="shared" si="1"/>
        <v>114.42493972360802</v>
      </c>
      <c r="AL18">
        <f t="shared" si="1"/>
        <v>113.19465982743949</v>
      </c>
      <c r="AM18">
        <f t="shared" si="1"/>
        <v>111.92705918333725</v>
      </c>
      <c r="AN18">
        <f t="shared" si="1"/>
        <v>110.77293338240585</v>
      </c>
      <c r="AO18">
        <f t="shared" si="1"/>
        <v>109.63665906731201</v>
      </c>
    </row>
    <row r="19" spans="1:41" x14ac:dyDescent="0.35">
      <c r="A19" t="s">
        <v>98</v>
      </c>
      <c r="C19">
        <f t="shared" ref="C19:AO19" si="2">C4*10^9/C12</f>
        <v>167.75093034392182</v>
      </c>
      <c r="D19">
        <f t="shared" si="2"/>
        <v>167.06374031943508</v>
      </c>
      <c r="E19">
        <f t="shared" si="2"/>
        <v>166.3794817931558</v>
      </c>
      <c r="F19">
        <f t="shared" si="2"/>
        <v>165.71867705556181</v>
      </c>
      <c r="G19">
        <f t="shared" si="2"/>
        <v>164.92025375076702</v>
      </c>
      <c r="H19">
        <f t="shared" si="2"/>
        <v>164.13746927453522</v>
      </c>
      <c r="I19">
        <f t="shared" si="2"/>
        <v>163.31672014377054</v>
      </c>
      <c r="J19">
        <f t="shared" si="2"/>
        <v>162.4892991373745</v>
      </c>
      <c r="K19">
        <f t="shared" si="2"/>
        <v>161.57178394835319</v>
      </c>
      <c r="L19">
        <f t="shared" si="2"/>
        <v>160.50126694997797</v>
      </c>
      <c r="M19">
        <f t="shared" si="2"/>
        <v>159.38689136080725</v>
      </c>
      <c r="N19">
        <f t="shared" si="2"/>
        <v>158.24363522143247</v>
      </c>
      <c r="O19">
        <f t="shared" si="2"/>
        <v>156.93830780801338</v>
      </c>
      <c r="P19">
        <f t="shared" si="2"/>
        <v>155.68148459693489</v>
      </c>
      <c r="Q19">
        <f t="shared" si="2"/>
        <v>154.41445977263604</v>
      </c>
      <c r="R19">
        <f t="shared" si="2"/>
        <v>153.1897353259439</v>
      </c>
      <c r="S19">
        <f t="shared" si="2"/>
        <v>151.87381686912195</v>
      </c>
      <c r="T19">
        <f t="shared" si="2"/>
        <v>150.54368836347413</v>
      </c>
      <c r="U19">
        <f t="shared" si="2"/>
        <v>149.18970688344487</v>
      </c>
      <c r="V19">
        <f t="shared" si="2"/>
        <v>147.895261507491</v>
      </c>
      <c r="W19">
        <f t="shared" si="2"/>
        <v>146.51690746572953</v>
      </c>
      <c r="X19">
        <f t="shared" si="2"/>
        <v>145.19238325810184</v>
      </c>
      <c r="Y19">
        <f t="shared" si="2"/>
        <v>143.90501569157624</v>
      </c>
      <c r="Z19">
        <f t="shared" si="2"/>
        <v>142.57571834167808</v>
      </c>
      <c r="AA19">
        <f t="shared" si="2"/>
        <v>141.26927912096835</v>
      </c>
      <c r="AB19">
        <f t="shared" si="2"/>
        <v>140.01253797730848</v>
      </c>
      <c r="AC19">
        <f t="shared" si="2"/>
        <v>138.75510188434779</v>
      </c>
      <c r="AD19">
        <f t="shared" si="2"/>
        <v>137.49662197851816</v>
      </c>
      <c r="AE19">
        <f t="shared" si="2"/>
        <v>136.2747134211865</v>
      </c>
      <c r="AF19">
        <f t="shared" si="2"/>
        <v>135.02823615071475</v>
      </c>
      <c r="AG19">
        <f t="shared" si="2"/>
        <v>133.84349014771186</v>
      </c>
      <c r="AH19">
        <f t="shared" si="2"/>
        <v>132.57320184420414</v>
      </c>
      <c r="AI19">
        <f t="shared" si="2"/>
        <v>131.3364381605916</v>
      </c>
      <c r="AJ19">
        <f t="shared" si="2"/>
        <v>130.06001964785651</v>
      </c>
      <c r="AK19">
        <f t="shared" si="2"/>
        <v>128.76938643856352</v>
      </c>
      <c r="AL19">
        <f t="shared" si="2"/>
        <v>127.52316053011032</v>
      </c>
      <c r="AM19">
        <f t="shared" si="2"/>
        <v>126.33639054278282</v>
      </c>
      <c r="AN19">
        <f t="shared" si="2"/>
        <v>125.11168459156335</v>
      </c>
      <c r="AO19">
        <f t="shared" si="2"/>
        <v>123.91474517171322</v>
      </c>
    </row>
    <row r="20" spans="1:41" x14ac:dyDescent="0.35">
      <c r="A20" t="s">
        <v>99</v>
      </c>
      <c r="C20">
        <f t="shared" ref="C20:AO20" si="3">C5*10^9/C13</f>
        <v>122.70453681200028</v>
      </c>
      <c r="D20">
        <f t="shared" si="3"/>
        <v>122.56550531073073</v>
      </c>
      <c r="E20">
        <f t="shared" si="3"/>
        <v>122.40862990417223</v>
      </c>
      <c r="F20">
        <f t="shared" si="3"/>
        <v>122.23735270249193</v>
      </c>
      <c r="G20">
        <f t="shared" si="3"/>
        <v>122.04983207249253</v>
      </c>
      <c r="H20">
        <f t="shared" si="3"/>
        <v>121.83527251699131</v>
      </c>
      <c r="I20">
        <f t="shared" si="3"/>
        <v>121.61107441160028</v>
      </c>
      <c r="J20">
        <f t="shared" si="3"/>
        <v>121.395335541745</v>
      </c>
      <c r="K20">
        <f t="shared" si="3"/>
        <v>121.14547017245391</v>
      </c>
      <c r="L20">
        <f t="shared" si="3"/>
        <v>120.80303734583964</v>
      </c>
      <c r="M20">
        <f t="shared" si="3"/>
        <v>120.45364555649762</v>
      </c>
      <c r="N20">
        <f t="shared" si="3"/>
        <v>120.0068665728872</v>
      </c>
      <c r="O20">
        <f t="shared" si="3"/>
        <v>119.48960139343785</v>
      </c>
      <c r="P20">
        <f t="shared" si="3"/>
        <v>118.99349843758522</v>
      </c>
      <c r="Q20">
        <f t="shared" si="3"/>
        <v>118.53458485308147</v>
      </c>
      <c r="R20">
        <f t="shared" si="3"/>
        <v>118.07685839911022</v>
      </c>
      <c r="S20">
        <f t="shared" si="3"/>
        <v>117.63727138961781</v>
      </c>
      <c r="T20">
        <f t="shared" si="3"/>
        <v>117.19381027873084</v>
      </c>
      <c r="U20">
        <f t="shared" si="3"/>
        <v>116.79143444539262</v>
      </c>
      <c r="V20">
        <f t="shared" si="3"/>
        <v>116.36007338929809</v>
      </c>
      <c r="W20">
        <f t="shared" si="3"/>
        <v>115.91803167621546</v>
      </c>
      <c r="X20">
        <f t="shared" si="3"/>
        <v>115.4964176570504</v>
      </c>
      <c r="Y20">
        <f t="shared" si="3"/>
        <v>115.09723882765341</v>
      </c>
      <c r="Z20">
        <f t="shared" si="3"/>
        <v>114.70164341889149</v>
      </c>
      <c r="AA20">
        <f t="shared" si="3"/>
        <v>114.33015839973854</v>
      </c>
      <c r="AB20">
        <f t="shared" si="3"/>
        <v>113.89901465552182</v>
      </c>
      <c r="AC20">
        <f t="shared" si="3"/>
        <v>113.49253468693374</v>
      </c>
      <c r="AD20">
        <f t="shared" si="3"/>
        <v>113.07948566129971</v>
      </c>
      <c r="AE20">
        <f t="shared" si="3"/>
        <v>112.70402317073413</v>
      </c>
      <c r="AF20">
        <f t="shared" si="3"/>
        <v>112.28024410882037</v>
      </c>
      <c r="AG20">
        <f t="shared" si="3"/>
        <v>111.88698710414486</v>
      </c>
      <c r="AH20">
        <f t="shared" si="3"/>
        <v>111.505714041186</v>
      </c>
      <c r="AI20">
        <f t="shared" si="3"/>
        <v>111.14113644736447</v>
      </c>
      <c r="AJ20">
        <f t="shared" si="3"/>
        <v>110.77438119966367</v>
      </c>
      <c r="AK20">
        <f t="shared" si="3"/>
        <v>110.3515686748438</v>
      </c>
      <c r="AL20">
        <f t="shared" si="3"/>
        <v>109.91216577872498</v>
      </c>
      <c r="AM20">
        <f t="shared" si="3"/>
        <v>109.49895603153306</v>
      </c>
      <c r="AN20">
        <f t="shared" si="3"/>
        <v>109.08589357219418</v>
      </c>
      <c r="AO20">
        <f t="shared" si="3"/>
        <v>108.67869702891251</v>
      </c>
    </row>
    <row r="21" spans="1:41" x14ac:dyDescent="0.35">
      <c r="A21" t="s">
        <v>100</v>
      </c>
      <c r="C21" t="e">
        <f t="shared" ref="C21:AO21" si="4">C6*10^9/C14</f>
        <v>#DIV/0!</v>
      </c>
      <c r="D21">
        <f t="shared" si="4"/>
        <v>66.835522982403717</v>
      </c>
      <c r="E21">
        <f t="shared" si="4"/>
        <v>69.484328084077873</v>
      </c>
      <c r="F21">
        <f t="shared" si="4"/>
        <v>70.332015718093601</v>
      </c>
      <c r="G21">
        <f t="shared" si="4"/>
        <v>69.69796486936707</v>
      </c>
      <c r="H21">
        <f t="shared" si="4"/>
        <v>69.557093392200358</v>
      </c>
      <c r="I21">
        <f t="shared" si="4"/>
        <v>69.75464195017905</v>
      </c>
      <c r="J21">
        <f t="shared" si="4"/>
        <v>70.288610388889069</v>
      </c>
      <c r="K21">
        <f t="shared" si="4"/>
        <v>69.611129053235558</v>
      </c>
      <c r="L21">
        <f t="shared" si="4"/>
        <v>69.585875259841387</v>
      </c>
      <c r="M21">
        <f t="shared" si="4"/>
        <v>69.544011143998688</v>
      </c>
      <c r="N21">
        <f t="shared" si="4"/>
        <v>69.470030019682213</v>
      </c>
      <c r="O21">
        <f t="shared" si="4"/>
        <v>69.360147792415432</v>
      </c>
      <c r="P21">
        <f t="shared" si="4"/>
        <v>69.221123931397926</v>
      </c>
      <c r="Q21">
        <f t="shared" si="4"/>
        <v>69.058248470750073</v>
      </c>
      <c r="R21">
        <f t="shared" si="4"/>
        <v>68.879371981945951</v>
      </c>
      <c r="S21">
        <f t="shared" si="4"/>
        <v>68.667846073645691</v>
      </c>
      <c r="T21">
        <f t="shared" si="4"/>
        <v>68.43367051126981</v>
      </c>
      <c r="U21">
        <f t="shared" si="4"/>
        <v>68.252916178059635</v>
      </c>
      <c r="V21">
        <f t="shared" si="4"/>
        <v>68.026497687148577</v>
      </c>
      <c r="W21">
        <f t="shared" si="4"/>
        <v>67.799843553864918</v>
      </c>
      <c r="X21">
        <f t="shared" si="4"/>
        <v>67.59358241124697</v>
      </c>
      <c r="Y21">
        <f t="shared" si="4"/>
        <v>67.387566640157601</v>
      </c>
      <c r="Z21">
        <f t="shared" si="4"/>
        <v>67.188932192230766</v>
      </c>
      <c r="AA21">
        <f t="shared" si="4"/>
        <v>67.017513659110818</v>
      </c>
      <c r="AB21">
        <f t="shared" si="4"/>
        <v>66.87039437728717</v>
      </c>
      <c r="AC21">
        <f t="shared" si="4"/>
        <v>66.720547173464965</v>
      </c>
      <c r="AD21">
        <f t="shared" si="4"/>
        <v>66.585706298289125</v>
      </c>
      <c r="AE21">
        <f t="shared" si="4"/>
        <v>66.481627933845658</v>
      </c>
      <c r="AF21">
        <f t="shared" si="4"/>
        <v>66.415348433887075</v>
      </c>
      <c r="AG21">
        <f t="shared" si="4"/>
        <v>66.351929151587015</v>
      </c>
      <c r="AH21">
        <f t="shared" si="4"/>
        <v>66.304120262158619</v>
      </c>
      <c r="AI21">
        <f t="shared" si="4"/>
        <v>66.27000008792713</v>
      </c>
      <c r="AJ21">
        <f t="shared" si="4"/>
        <v>66.210808181463307</v>
      </c>
      <c r="AK21">
        <f t="shared" si="4"/>
        <v>66.169376509362436</v>
      </c>
      <c r="AL21">
        <f t="shared" si="4"/>
        <v>66.143526887101473</v>
      </c>
      <c r="AM21">
        <f t="shared" si="4"/>
        <v>66.123188380863269</v>
      </c>
      <c r="AN21">
        <f t="shared" si="4"/>
        <v>66.107328337770397</v>
      </c>
      <c r="AO21">
        <f t="shared" si="4"/>
        <v>66.088253495645588</v>
      </c>
    </row>
    <row r="22" spans="1:41" x14ac:dyDescent="0.35">
      <c r="A22" t="s">
        <v>101</v>
      </c>
      <c r="C22" t="e">
        <f t="shared" ref="C22:AO22" si="5">C7*10^9/C15</f>
        <v>#DIV/0!</v>
      </c>
      <c r="D22" t="e">
        <f t="shared" si="5"/>
        <v>#DIV/0!</v>
      </c>
      <c r="E22" t="e">
        <f t="shared" si="5"/>
        <v>#DIV/0!</v>
      </c>
      <c r="F22" t="e">
        <f t="shared" si="5"/>
        <v>#DIV/0!</v>
      </c>
      <c r="G22" t="e">
        <f t="shared" si="5"/>
        <v>#DIV/0!</v>
      </c>
      <c r="H22" t="e">
        <f t="shared" si="5"/>
        <v>#DIV/0!</v>
      </c>
      <c r="I22" t="e">
        <f t="shared" si="5"/>
        <v>#DIV/0!</v>
      </c>
      <c r="J22" t="e">
        <f t="shared" si="5"/>
        <v>#DIV/0!</v>
      </c>
      <c r="K22" t="e">
        <f t="shared" si="5"/>
        <v>#DIV/0!</v>
      </c>
      <c r="L22">
        <f t="shared" si="5"/>
        <v>60.003331858798532</v>
      </c>
      <c r="M22">
        <f t="shared" si="5"/>
        <v>59.638670042874104</v>
      </c>
      <c r="N22">
        <f t="shared" si="5"/>
        <v>59.472406314753989</v>
      </c>
      <c r="O22">
        <f t="shared" si="5"/>
        <v>58.54414165977073</v>
      </c>
      <c r="P22">
        <f t="shared" si="5"/>
        <v>57.853882350739234</v>
      </c>
      <c r="Q22">
        <f t="shared" si="5"/>
        <v>57.312366688107275</v>
      </c>
      <c r="R22">
        <f t="shared" si="5"/>
        <v>56.971866397382726</v>
      </c>
      <c r="S22">
        <f t="shared" si="5"/>
        <v>56.504900984119551</v>
      </c>
      <c r="T22">
        <f t="shared" si="5"/>
        <v>56.569706569897697</v>
      </c>
      <c r="U22">
        <f t="shared" si="5"/>
        <v>56.103933237363087</v>
      </c>
      <c r="V22">
        <f t="shared" si="5"/>
        <v>56.042893977238904</v>
      </c>
      <c r="W22">
        <f t="shared" si="5"/>
        <v>55.859693144019033</v>
      </c>
      <c r="X22">
        <f t="shared" si="5"/>
        <v>55.714422981585365</v>
      </c>
      <c r="Y22">
        <f t="shared" si="5"/>
        <v>55.68147935200659</v>
      </c>
      <c r="Z22">
        <f t="shared" si="5"/>
        <v>55.568694794408025</v>
      </c>
      <c r="AA22">
        <f t="shared" si="5"/>
        <v>55.47189038446853</v>
      </c>
      <c r="AB22">
        <f t="shared" si="5"/>
        <v>55.40382894846325</v>
      </c>
      <c r="AC22">
        <f t="shared" si="5"/>
        <v>55.272005760184122</v>
      </c>
      <c r="AD22">
        <f t="shared" si="5"/>
        <v>55.040968647246345</v>
      </c>
      <c r="AE22">
        <f t="shared" si="5"/>
        <v>55.074990257947853</v>
      </c>
      <c r="AF22">
        <f t="shared" si="5"/>
        <v>55.000152371639835</v>
      </c>
      <c r="AG22">
        <f t="shared" si="5"/>
        <v>54.824201729373399</v>
      </c>
      <c r="AH22">
        <f t="shared" si="5"/>
        <v>54.777902034106475</v>
      </c>
      <c r="AI22">
        <f t="shared" si="5"/>
        <v>54.758066297378519</v>
      </c>
      <c r="AJ22">
        <f t="shared" si="5"/>
        <v>54.688603908483913</v>
      </c>
      <c r="AK22">
        <f t="shared" si="5"/>
        <v>54.618857202463197</v>
      </c>
      <c r="AL22">
        <f t="shared" si="5"/>
        <v>54.614176388106344</v>
      </c>
      <c r="AM22">
        <f t="shared" si="5"/>
        <v>54.591434883340682</v>
      </c>
      <c r="AN22">
        <f t="shared" si="5"/>
        <v>54.561393345673501</v>
      </c>
      <c r="AO22">
        <f t="shared" si="5"/>
        <v>54.550898106764869</v>
      </c>
    </row>
    <row r="23" spans="1:41" x14ac:dyDescent="0.35">
      <c r="T23" s="5"/>
      <c r="U23" s="28"/>
      <c r="X23" s="28"/>
    </row>
    <row r="25" spans="1:41" x14ac:dyDescent="0.35">
      <c r="A25" s="1" t="s">
        <v>119</v>
      </c>
    </row>
    <row r="26" spans="1:41" x14ac:dyDescent="0.35">
      <c r="A26" t="s">
        <v>102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9">
        <f>(U21-U18)/U18</f>
        <v>-0.5054597997188619</v>
      </c>
      <c r="V26" s="24"/>
      <c r="W26" s="24"/>
      <c r="X26" s="24"/>
      <c r="Y26" s="24"/>
      <c r="Z26" s="29">
        <f>(Z21-Z18)/Z18</f>
        <v>-0.48228657644735579</v>
      </c>
      <c r="AA26" s="24"/>
    </row>
    <row r="27" spans="1:41" x14ac:dyDescent="0.35">
      <c r="A27" t="s">
        <v>98</v>
      </c>
      <c r="B27" t="s">
        <v>118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32">
        <f>(U20-U19)/U19</f>
        <v>-0.21716157980901149</v>
      </c>
      <c r="V27" s="33"/>
      <c r="W27" s="33"/>
      <c r="X27" s="33"/>
      <c r="Y27" s="33"/>
      <c r="Z27" s="32">
        <f>(Z20-Z19)/Z19</f>
        <v>-0.19550366112122455</v>
      </c>
      <c r="AA27" s="24"/>
    </row>
    <row r="28" spans="1:41" x14ac:dyDescent="0.35">
      <c r="A28" t="s">
        <v>99</v>
      </c>
      <c r="B28" t="s">
        <v>118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41" x14ac:dyDescent="0.35">
      <c r="A29" t="s">
        <v>100</v>
      </c>
      <c r="B29" t="s">
        <v>118</v>
      </c>
      <c r="C29" s="26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41" x14ac:dyDescent="0.35">
      <c r="A30" t="s">
        <v>101</v>
      </c>
      <c r="B30" t="s">
        <v>118</v>
      </c>
      <c r="C30" s="26"/>
      <c r="D30" s="26"/>
      <c r="E30" s="26"/>
      <c r="F30" s="26"/>
      <c r="G30" s="26"/>
      <c r="H30" s="26"/>
      <c r="I30" s="26"/>
      <c r="J30" s="26"/>
      <c r="K30" s="26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41" x14ac:dyDescent="0.35">
      <c r="U31" s="30">
        <f>(U26*U11+U27*U12)/SUM(U11:U12)</f>
        <v>-0.34314647848926666</v>
      </c>
      <c r="Z31" s="30">
        <f>(Z26*Z11+Z27*Z12)/SUM(Z11:Z12)</f>
        <v>-0.3215002957958038</v>
      </c>
    </row>
    <row r="34" spans="1:41" x14ac:dyDescent="0.35">
      <c r="U34" s="31">
        <f>SUM(U11)/SUM(U11:U14)</f>
        <v>0.25299594354555016</v>
      </c>
      <c r="Z34" s="31">
        <f>SUM(Z11)/SUM(Z11:Z14)</f>
        <v>0.25321691235952715</v>
      </c>
    </row>
    <row r="37" spans="1:41" hidden="1" x14ac:dyDescent="0.35">
      <c r="A37" s="15" t="s">
        <v>107</v>
      </c>
      <c r="B37" s="16"/>
    </row>
    <row r="38" spans="1:41" hidden="1" x14ac:dyDescent="0.35">
      <c r="C38" t="s">
        <v>59</v>
      </c>
      <c r="D38" t="s">
        <v>60</v>
      </c>
      <c r="E38" t="s">
        <v>61</v>
      </c>
      <c r="F38" t="s">
        <v>62</v>
      </c>
      <c r="G38" t="s">
        <v>63</v>
      </c>
      <c r="H38" t="s">
        <v>64</v>
      </c>
      <c r="I38" t="s">
        <v>65</v>
      </c>
      <c r="J38" t="s">
        <v>66</v>
      </c>
      <c r="K38" t="s">
        <v>67</v>
      </c>
      <c r="L38" t="s">
        <v>68</v>
      </c>
      <c r="M38" t="s">
        <v>69</v>
      </c>
      <c r="N38" t="s">
        <v>70</v>
      </c>
      <c r="O38" t="s">
        <v>71</v>
      </c>
      <c r="P38" t="s">
        <v>72</v>
      </c>
      <c r="Q38" t="s">
        <v>73</v>
      </c>
      <c r="R38" t="s">
        <v>74</v>
      </c>
      <c r="S38" t="s">
        <v>75</v>
      </c>
      <c r="T38" t="s">
        <v>76</v>
      </c>
      <c r="U38" s="1" t="s">
        <v>77</v>
      </c>
      <c r="V38" t="s">
        <v>78</v>
      </c>
      <c r="W38" t="s">
        <v>79</v>
      </c>
      <c r="X38" t="s">
        <v>80</v>
      </c>
      <c r="Y38" t="s">
        <v>81</v>
      </c>
      <c r="Z38" s="1" t="s">
        <v>82</v>
      </c>
      <c r="AA38" t="s">
        <v>83</v>
      </c>
      <c r="AB38" t="s">
        <v>84</v>
      </c>
      <c r="AC38" t="s">
        <v>85</v>
      </c>
      <c r="AD38" t="s">
        <v>86</v>
      </c>
      <c r="AE38" t="s">
        <v>87</v>
      </c>
      <c r="AF38" t="s">
        <v>88</v>
      </c>
      <c r="AG38" t="s">
        <v>89</v>
      </c>
      <c r="AH38" t="s">
        <v>90</v>
      </c>
      <c r="AI38" t="s">
        <v>91</v>
      </c>
      <c r="AJ38" t="s">
        <v>92</v>
      </c>
      <c r="AK38" t="s">
        <v>93</v>
      </c>
      <c r="AL38" t="s">
        <v>94</v>
      </c>
      <c r="AM38" t="s">
        <v>95</v>
      </c>
      <c r="AN38" t="s">
        <v>96</v>
      </c>
      <c r="AO38" t="s">
        <v>97</v>
      </c>
    </row>
    <row r="39" spans="1:41" hidden="1" x14ac:dyDescent="0.35">
      <c r="A39" t="s">
        <v>98</v>
      </c>
      <c r="C39">
        <f>C$12/30</f>
        <v>68697856.450000003</v>
      </c>
      <c r="U39" s="17">
        <f>U21*U12/10^9</f>
        <v>119.50901278506051</v>
      </c>
      <c r="Z39" s="17">
        <f>Z21*Z12/10^9</f>
        <v>112.43112184439666</v>
      </c>
    </row>
    <row r="40" spans="1:41" hidden="1" x14ac:dyDescent="0.35">
      <c r="A40" t="s">
        <v>99</v>
      </c>
      <c r="U40" s="17">
        <f>U5</f>
        <v>165.11212913687316</v>
      </c>
      <c r="Z40" s="17">
        <f>Z5</f>
        <v>156.03400714170056</v>
      </c>
    </row>
    <row r="41" spans="1:41" hidden="1" x14ac:dyDescent="0.35">
      <c r="A41" t="s">
        <v>100</v>
      </c>
      <c r="U41" s="17">
        <f>U6</f>
        <v>57.888328597018806</v>
      </c>
      <c r="Z41" s="17">
        <f>Z6</f>
        <v>56.004000962677161</v>
      </c>
    </row>
    <row r="42" spans="1:41" hidden="1" x14ac:dyDescent="0.35">
      <c r="A42" t="s">
        <v>101</v>
      </c>
      <c r="U42" s="17">
        <f>U7</f>
        <v>48.338677271911635</v>
      </c>
      <c r="Z42" s="17">
        <f>Z7</f>
        <v>70.621247439738653</v>
      </c>
    </row>
    <row r="43" spans="1:41" hidden="1" x14ac:dyDescent="0.35">
      <c r="A43" t="s">
        <v>102</v>
      </c>
      <c r="U43" s="17">
        <f>U21*U11/10^9</f>
        <v>92.760906825421344</v>
      </c>
      <c r="Z43" s="17">
        <f>Z21*Z11/10^9</f>
        <v>88.104177344466848</v>
      </c>
    </row>
    <row r="44" spans="1:41" hidden="1" x14ac:dyDescent="0.35">
      <c r="U44" s="17">
        <f>SUM(U39:U43)</f>
        <v>483.60905461628545</v>
      </c>
      <c r="Z44" s="17">
        <f>SUM(Z39:Z43)</f>
        <v>483.1945547329799</v>
      </c>
    </row>
    <row r="45" spans="1:41" hidden="1" x14ac:dyDescent="0.35">
      <c r="A45" t="s">
        <v>108</v>
      </c>
    </row>
    <row r="46" spans="1:41" hidden="1" x14ac:dyDescent="0.35">
      <c r="T46" s="16" t="s">
        <v>109</v>
      </c>
      <c r="U46" s="18">
        <f>U8-U44</f>
        <v>236.52723062785799</v>
      </c>
      <c r="V46" t="s">
        <v>38</v>
      </c>
      <c r="Y46" s="16" t="s">
        <v>109</v>
      </c>
      <c r="Z46" s="18">
        <f>Z8-Z44</f>
        <v>208.22432103263998</v>
      </c>
      <c r="AA46" t="s">
        <v>38</v>
      </c>
    </row>
    <row r="47" spans="1:41" hidden="1" x14ac:dyDescent="0.35">
      <c r="T47" s="16" t="s">
        <v>110</v>
      </c>
      <c r="U47" s="19">
        <f>U46/U8</f>
        <v>0.32844787226305311</v>
      </c>
      <c r="Y47" s="16" t="s">
        <v>110</v>
      </c>
      <c r="Z47" s="19">
        <f>Z46/Z8</f>
        <v>0.30115510052002797</v>
      </c>
    </row>
    <row r="48" spans="1:41" hidden="1" x14ac:dyDescent="0.35"/>
    <row r="49" spans="1:27" hidden="1" x14ac:dyDescent="0.35"/>
    <row r="51" spans="1:27" x14ac:dyDescent="0.35">
      <c r="A51" s="20" t="s">
        <v>111</v>
      </c>
      <c r="B51" s="21"/>
    </row>
    <row r="52" spans="1:27" x14ac:dyDescent="0.35">
      <c r="C52" t="s">
        <v>59</v>
      </c>
      <c r="D52" t="s">
        <v>60</v>
      </c>
      <c r="E52" t="s">
        <v>61</v>
      </c>
      <c r="F52" t="s">
        <v>62</v>
      </c>
      <c r="G52" t="s">
        <v>63</v>
      </c>
      <c r="H52" t="s">
        <v>64</v>
      </c>
      <c r="I52" t="s">
        <v>65</v>
      </c>
      <c r="J52" t="s">
        <v>66</v>
      </c>
      <c r="K52" t="s">
        <v>67</v>
      </c>
      <c r="L52" t="s">
        <v>68</v>
      </c>
      <c r="M52" t="s">
        <v>69</v>
      </c>
      <c r="N52" t="s">
        <v>70</v>
      </c>
      <c r="O52" t="s">
        <v>71</v>
      </c>
      <c r="P52" t="s">
        <v>72</v>
      </c>
      <c r="Q52" t="s">
        <v>73</v>
      </c>
      <c r="R52" t="s">
        <v>74</v>
      </c>
      <c r="S52" t="s">
        <v>75</v>
      </c>
      <c r="T52" t="s">
        <v>76</v>
      </c>
      <c r="U52" s="1" t="s">
        <v>77</v>
      </c>
      <c r="V52" t="s">
        <v>78</v>
      </c>
      <c r="W52" t="s">
        <v>79</v>
      </c>
      <c r="X52" t="s">
        <v>80</v>
      </c>
      <c r="Y52" t="s">
        <v>81</v>
      </c>
      <c r="Z52" s="1" t="s">
        <v>82</v>
      </c>
    </row>
    <row r="53" spans="1:27" x14ac:dyDescent="0.35">
      <c r="A53" t="s">
        <v>98</v>
      </c>
      <c r="C53">
        <f>C$12/30</f>
        <v>68697856.450000003</v>
      </c>
      <c r="U53" s="17">
        <f>U20*U12/10^9</f>
        <v>204.49864729452773</v>
      </c>
      <c r="Z53" s="17">
        <f>Z20*Z12/10^9</f>
        <v>191.93688642179566</v>
      </c>
    </row>
    <row r="54" spans="1:27" x14ac:dyDescent="0.35">
      <c r="A54" t="s">
        <v>99</v>
      </c>
      <c r="U54" s="17">
        <f>U5</f>
        <v>165.11212913687316</v>
      </c>
      <c r="Z54" s="17">
        <f>Z5</f>
        <v>156.03400714170056</v>
      </c>
    </row>
    <row r="55" spans="1:27" x14ac:dyDescent="0.35">
      <c r="A55" t="s">
        <v>100</v>
      </c>
      <c r="U55" s="17">
        <f>U6</f>
        <v>57.888328597018806</v>
      </c>
      <c r="Z55" s="17">
        <f>Z6</f>
        <v>56.004000962677161</v>
      </c>
    </row>
    <row r="56" spans="1:27" x14ac:dyDescent="0.35">
      <c r="A56" t="s">
        <v>101</v>
      </c>
      <c r="U56" s="17">
        <f>U7</f>
        <v>48.338677271911635</v>
      </c>
      <c r="Z56" s="17">
        <f>Z7</f>
        <v>70.621247439738653</v>
      </c>
    </row>
    <row r="57" spans="1:27" x14ac:dyDescent="0.35">
      <c r="A57" t="s">
        <v>102</v>
      </c>
      <c r="U57" s="17">
        <f>U20*U11/10^9</f>
        <v>158.72844671329852</v>
      </c>
      <c r="Z57" s="17">
        <f>Z20*Z11/10^9</f>
        <v>150.40712218147681</v>
      </c>
    </row>
    <row r="58" spans="1:27" x14ac:dyDescent="0.35">
      <c r="U58" s="17">
        <f>SUM(U53:U57)</f>
        <v>634.56622901362994</v>
      </c>
      <c r="Z58" s="17">
        <f>SUM(Z53:Z57)</f>
        <v>625.00326414738879</v>
      </c>
    </row>
    <row r="59" spans="1:27" x14ac:dyDescent="0.35">
      <c r="A59" t="s">
        <v>112</v>
      </c>
    </row>
    <row r="60" spans="1:27" x14ac:dyDescent="0.35">
      <c r="T60" s="21" t="s">
        <v>109</v>
      </c>
      <c r="U60" s="22">
        <f>U8-U58</f>
        <v>85.570056230513501</v>
      </c>
      <c r="V60" t="s">
        <v>38</v>
      </c>
      <c r="Y60" s="21" t="s">
        <v>109</v>
      </c>
      <c r="Z60" s="22">
        <f>Z8-Z58</f>
        <v>66.415611618231083</v>
      </c>
      <c r="AA60" t="s">
        <v>38</v>
      </c>
    </row>
    <row r="61" spans="1:27" x14ac:dyDescent="0.35">
      <c r="T61" s="21" t="s">
        <v>110</v>
      </c>
      <c r="U61" s="23">
        <f>U60/U8</f>
        <v>0.11882480855898436</v>
      </c>
      <c r="Y61" s="21" t="s">
        <v>110</v>
      </c>
      <c r="Z61" s="23">
        <f>Z60/Z8</f>
        <v>9.6056983611689725E-2</v>
      </c>
    </row>
    <row r="63" spans="1:27" x14ac:dyDescent="0.35">
      <c r="U63" s="34">
        <f>SUM(U4:U7)+(U3*(1+U26))</f>
        <v>625.32718911998006</v>
      </c>
      <c r="Z63" s="34">
        <f>SUM(Z4:Z7)+(Z3*(1+Z26))</f>
        <v>609.34361920651918</v>
      </c>
    </row>
    <row r="64" spans="1:27" x14ac:dyDescent="0.35">
      <c r="U64" s="27">
        <f>(U8-U63)/U8</f>
        <v>0.13165437996506568</v>
      </c>
      <c r="Z64" s="27">
        <f>(Z8-Z63)/Z8</f>
        <v>0.11870554801995732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921B-F39F-43F4-ABB5-C04C9CADE685}">
  <dimension ref="A1:AO70"/>
  <sheetViews>
    <sheetView topLeftCell="A22" zoomScale="90" zoomScaleNormal="90" workbookViewId="0">
      <selection activeCell="U16" sqref="U16"/>
    </sheetView>
  </sheetViews>
  <sheetFormatPr defaultRowHeight="14.5" x14ac:dyDescent="0.35"/>
  <cols>
    <col min="3" max="3" width="12.54296875" bestFit="1" customWidth="1"/>
    <col min="4" max="19" width="12.54296875" hidden="1" customWidth="1"/>
    <col min="20" max="20" width="12.54296875" bestFit="1" customWidth="1"/>
    <col min="21" max="21" width="20.1796875" bestFit="1" customWidth="1"/>
    <col min="22" max="41" width="12.54296875" bestFit="1" customWidth="1"/>
  </cols>
  <sheetData>
    <row r="1" spans="1:41" x14ac:dyDescent="0.35">
      <c r="A1" s="1" t="s">
        <v>113</v>
      </c>
    </row>
    <row r="2" spans="1:41" x14ac:dyDescent="0.3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s="1" t="s">
        <v>77</v>
      </c>
      <c r="V2" t="s">
        <v>78</v>
      </c>
      <c r="W2" t="s">
        <v>79</v>
      </c>
      <c r="X2" t="s">
        <v>80</v>
      </c>
      <c r="Y2" t="s">
        <v>81</v>
      </c>
      <c r="Z2" s="1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</row>
    <row r="3" spans="1:41" x14ac:dyDescent="0.35">
      <c r="A3" t="s">
        <v>102</v>
      </c>
      <c r="B3" t="s">
        <v>38</v>
      </c>
      <c r="C3" s="24">
        <v>742.21784958742194</v>
      </c>
      <c r="D3" s="24">
        <v>733.43587895233748</v>
      </c>
      <c r="E3" s="24">
        <v>724.45765208489399</v>
      </c>
      <c r="F3" s="24">
        <v>715.21856462870721</v>
      </c>
      <c r="G3" s="24">
        <v>706.03208670041067</v>
      </c>
      <c r="H3" s="24">
        <v>697.0245415494885</v>
      </c>
      <c r="I3" s="24">
        <v>688.16951359727739</v>
      </c>
      <c r="J3" s="24">
        <v>679.23382881306156</v>
      </c>
      <c r="K3" s="24">
        <v>670.19640270923401</v>
      </c>
      <c r="L3" s="24">
        <v>661.36979360204555</v>
      </c>
      <c r="M3" s="24">
        <v>652.03478765167483</v>
      </c>
      <c r="N3" s="24">
        <v>643.08372431127975</v>
      </c>
      <c r="O3" s="24">
        <v>633.9043094775235</v>
      </c>
      <c r="P3" s="24">
        <v>625.084769715476</v>
      </c>
      <c r="Q3" s="24">
        <v>616.25572524255608</v>
      </c>
      <c r="R3" s="24">
        <v>607.84035089336226</v>
      </c>
      <c r="S3" s="24">
        <v>599.49094469043928</v>
      </c>
      <c r="T3" s="24">
        <v>591.13897710461947</v>
      </c>
      <c r="U3" s="17">
        <v>583.10966604771659</v>
      </c>
      <c r="V3" s="24">
        <v>574.86171605715117</v>
      </c>
      <c r="W3" s="24">
        <v>566.84978545672936</v>
      </c>
      <c r="X3" s="24">
        <v>558.76450725750851</v>
      </c>
      <c r="Y3" s="24">
        <v>550.89219754419435</v>
      </c>
      <c r="Z3" s="17">
        <v>542.97484266972128</v>
      </c>
      <c r="AA3" s="24">
        <v>535.37134998251452</v>
      </c>
      <c r="AB3" s="24">
        <v>527.85585762012624</v>
      </c>
      <c r="AC3" s="24">
        <v>520.265631746248</v>
      </c>
      <c r="AD3" s="24">
        <v>512.86865436553785</v>
      </c>
      <c r="AE3" s="24">
        <v>505.72658047837297</v>
      </c>
      <c r="AF3" s="24">
        <v>498.59568678872336</v>
      </c>
      <c r="AG3" s="24">
        <v>491.5988560692312</v>
      </c>
      <c r="AH3" s="24">
        <v>484.85016402181373</v>
      </c>
      <c r="AI3" s="24">
        <v>478.26646648481625</v>
      </c>
      <c r="AJ3" s="24">
        <v>471.78986013426749</v>
      </c>
      <c r="AK3" s="24">
        <v>465.26349300365894</v>
      </c>
      <c r="AL3" s="24">
        <v>459.17389888036723</v>
      </c>
      <c r="AM3" s="24">
        <v>453.13969752650814</v>
      </c>
      <c r="AN3" s="24">
        <v>447.01061259973102</v>
      </c>
      <c r="AO3" s="24">
        <v>440.8253592248912</v>
      </c>
    </row>
    <row r="4" spans="1:41" x14ac:dyDescent="0.35">
      <c r="A4" t="s">
        <v>98</v>
      </c>
      <c r="B4" t="s">
        <v>38</v>
      </c>
      <c r="C4" s="24">
        <v>878.59068932657794</v>
      </c>
      <c r="D4" s="24">
        <v>871.84063554522504</v>
      </c>
      <c r="E4" s="24">
        <v>864.94680611155104</v>
      </c>
      <c r="F4" s="24">
        <v>858.03384829451159</v>
      </c>
      <c r="G4" s="24">
        <v>851.12837161995299</v>
      </c>
      <c r="H4" s="24">
        <v>844.2458059921164</v>
      </c>
      <c r="I4" s="24">
        <v>837.21185626135821</v>
      </c>
      <c r="J4" s="24">
        <v>830.09307127692796</v>
      </c>
      <c r="K4" s="24">
        <v>822.78767563311669</v>
      </c>
      <c r="L4" s="24">
        <v>815.03236127144282</v>
      </c>
      <c r="M4" s="24">
        <v>807.07710007912317</v>
      </c>
      <c r="N4" s="24">
        <v>798.84698109667875</v>
      </c>
      <c r="O4" s="24">
        <v>790.68050746094946</v>
      </c>
      <c r="P4" s="24">
        <v>782.92032282864773</v>
      </c>
      <c r="Q4" s="24">
        <v>775.23141803670535</v>
      </c>
      <c r="R4" s="24">
        <v>767.59779469778073</v>
      </c>
      <c r="S4" s="24">
        <v>759.85099599663636</v>
      </c>
      <c r="T4" s="24">
        <v>752.23518149800452</v>
      </c>
      <c r="U4" s="17">
        <v>744.60261682661985</v>
      </c>
      <c r="V4" s="24">
        <v>736.42732138969779</v>
      </c>
      <c r="W4" s="24">
        <v>728.12562067957288</v>
      </c>
      <c r="X4" s="24">
        <v>719.79703181935236</v>
      </c>
      <c r="Y4" s="24">
        <v>711.67997068453303</v>
      </c>
      <c r="Z4" s="17">
        <v>703.26689324214647</v>
      </c>
      <c r="AA4" s="24">
        <v>695.00221738956054</v>
      </c>
      <c r="AB4" s="24">
        <v>686.72910116619812</v>
      </c>
      <c r="AC4" s="24">
        <v>678.53075146773858</v>
      </c>
      <c r="AD4" s="24">
        <v>670.20621082645005</v>
      </c>
      <c r="AE4" s="24">
        <v>661.97494730641483</v>
      </c>
      <c r="AF4" s="24">
        <v>653.79272812159536</v>
      </c>
      <c r="AG4" s="24">
        <v>645.50934720804457</v>
      </c>
      <c r="AH4" s="24">
        <v>637.52097488716311</v>
      </c>
      <c r="AI4" s="24">
        <v>629.39434138818297</v>
      </c>
      <c r="AJ4" s="24">
        <v>621.48045702331535</v>
      </c>
      <c r="AK4" s="24">
        <v>613.33944387225006</v>
      </c>
      <c r="AL4" s="24">
        <v>605.78483590374344</v>
      </c>
      <c r="AM4" s="24">
        <v>597.94723145386001</v>
      </c>
      <c r="AN4" s="24">
        <v>589.94576273435086</v>
      </c>
      <c r="AO4" s="24">
        <v>582.12694021209006</v>
      </c>
    </row>
    <row r="5" spans="1:41" x14ac:dyDescent="0.35">
      <c r="A5" t="s">
        <v>99</v>
      </c>
      <c r="B5" t="s">
        <v>38</v>
      </c>
      <c r="C5" s="24">
        <v>382.73008950204081</v>
      </c>
      <c r="D5" s="24">
        <v>382.01398955345866</v>
      </c>
      <c r="E5" s="24">
        <v>381.11756104208035</v>
      </c>
      <c r="F5" s="24">
        <v>380.13550627101023</v>
      </c>
      <c r="G5" s="24">
        <v>379.15616631349889</v>
      </c>
      <c r="H5" s="24">
        <v>378.0727354152894</v>
      </c>
      <c r="I5" s="24">
        <v>376.9452566648024</v>
      </c>
      <c r="J5" s="24">
        <v>375.80787079006336</v>
      </c>
      <c r="K5" s="24">
        <v>373.58154980893772</v>
      </c>
      <c r="L5" s="24">
        <v>371.2732905216543</v>
      </c>
      <c r="M5" s="24">
        <v>368.81753539496094</v>
      </c>
      <c r="N5" s="24">
        <v>366.23164427112351</v>
      </c>
      <c r="O5" s="24">
        <v>363.47763907944716</v>
      </c>
      <c r="P5" s="24">
        <v>360.89804155241416</v>
      </c>
      <c r="Q5" s="24">
        <v>358.37933459874995</v>
      </c>
      <c r="R5" s="24">
        <v>355.97258451397374</v>
      </c>
      <c r="S5" s="24">
        <v>353.47628651606777</v>
      </c>
      <c r="T5" s="24">
        <v>351.01645263819103</v>
      </c>
      <c r="U5" s="17">
        <v>348.47617481414409</v>
      </c>
      <c r="V5" s="24">
        <v>345.82199162692291</v>
      </c>
      <c r="W5" s="24">
        <v>343.16717666833233</v>
      </c>
      <c r="X5" s="24">
        <v>340.57403812410519</v>
      </c>
      <c r="Y5" s="24">
        <v>337.7777160108019</v>
      </c>
      <c r="Z5" s="17">
        <v>334.91079449481015</v>
      </c>
      <c r="AA5" s="24">
        <v>332.12248487257295</v>
      </c>
      <c r="AB5" s="24">
        <v>329.28445701161826</v>
      </c>
      <c r="AC5" s="24">
        <v>326.34656898423555</v>
      </c>
      <c r="AD5" s="24">
        <v>323.46794121695683</v>
      </c>
      <c r="AE5" s="24">
        <v>320.58848779212417</v>
      </c>
      <c r="AF5" s="24">
        <v>317.61661769281619</v>
      </c>
      <c r="AG5" s="24">
        <v>314.61976113944775</v>
      </c>
      <c r="AH5" s="24">
        <v>311.64487334962411</v>
      </c>
      <c r="AI5" s="24">
        <v>308.77926886465298</v>
      </c>
      <c r="AJ5" s="24">
        <v>305.85830034714144</v>
      </c>
      <c r="AK5" s="24">
        <v>302.89868911914431</v>
      </c>
      <c r="AL5" s="24">
        <v>299.95831650650001</v>
      </c>
      <c r="AM5" s="24">
        <v>296.93313252088808</v>
      </c>
      <c r="AN5" s="24">
        <v>293.99302167730622</v>
      </c>
      <c r="AO5" s="24">
        <v>290.8386091068719</v>
      </c>
    </row>
    <row r="6" spans="1:41" x14ac:dyDescent="0.35">
      <c r="A6" t="s">
        <v>100</v>
      </c>
      <c r="B6" t="s">
        <v>38</v>
      </c>
      <c r="C6" s="24">
        <v>0</v>
      </c>
      <c r="D6" s="24">
        <v>13.715319741877101</v>
      </c>
      <c r="E6" s="24">
        <v>26.518174895115962</v>
      </c>
      <c r="F6" s="24">
        <v>31.460223318316913</v>
      </c>
      <c r="G6" s="24">
        <v>35.48304825601037</v>
      </c>
      <c r="H6" s="24">
        <v>39.627196637152146</v>
      </c>
      <c r="I6" s="24">
        <v>43.092856744782715</v>
      </c>
      <c r="J6" s="24">
        <v>46.687669745202982</v>
      </c>
      <c r="K6" s="24">
        <v>48.995153388473391</v>
      </c>
      <c r="L6" s="24">
        <v>48.97339101256366</v>
      </c>
      <c r="M6" s="24">
        <v>48.949041171783179</v>
      </c>
      <c r="N6" s="24">
        <v>48.923372258039372</v>
      </c>
      <c r="O6" s="24">
        <v>48.889054266724898</v>
      </c>
      <c r="P6" s="24">
        <v>48.85196120902787</v>
      </c>
      <c r="Q6" s="24">
        <v>48.814772798631388</v>
      </c>
      <c r="R6" s="24">
        <v>48.771106580478424</v>
      </c>
      <c r="S6" s="24">
        <v>48.720458348463332</v>
      </c>
      <c r="T6" s="24">
        <v>48.668708354526004</v>
      </c>
      <c r="U6" s="17">
        <v>48.633734931977244</v>
      </c>
      <c r="V6" s="24">
        <v>48.53381460085307</v>
      </c>
      <c r="W6" s="24">
        <v>48.43343465060363</v>
      </c>
      <c r="X6" s="24">
        <v>48.344306396291756</v>
      </c>
      <c r="Y6" s="24">
        <v>48.113224103566537</v>
      </c>
      <c r="Z6" s="17">
        <v>47.87002540849145</v>
      </c>
      <c r="AA6" s="24">
        <v>47.635977643608918</v>
      </c>
      <c r="AB6" s="24">
        <v>47.405540000179506</v>
      </c>
      <c r="AC6" s="24">
        <v>47.174019115855657</v>
      </c>
      <c r="AD6" s="24">
        <v>46.954280276251076</v>
      </c>
      <c r="AE6" s="24">
        <v>46.725686186015714</v>
      </c>
      <c r="AF6" s="24">
        <v>46.509025762420698</v>
      </c>
      <c r="AG6" s="24">
        <v>46.293239426563147</v>
      </c>
      <c r="AH6" s="24">
        <v>46.06188330150794</v>
      </c>
      <c r="AI6" s="24">
        <v>45.828005867707219</v>
      </c>
      <c r="AJ6" s="24">
        <v>45.589926341495392</v>
      </c>
      <c r="AK6" s="24">
        <v>45.355474011828733</v>
      </c>
      <c r="AL6" s="24">
        <v>45.112262664611137</v>
      </c>
      <c r="AM6" s="24">
        <v>44.862340349425459</v>
      </c>
      <c r="AN6" s="24">
        <v>44.616557250024464</v>
      </c>
      <c r="AO6" s="24">
        <v>44.349765226959221</v>
      </c>
    </row>
    <row r="7" spans="1:41" x14ac:dyDescent="0.35">
      <c r="A7" t="s">
        <v>101</v>
      </c>
      <c r="B7" t="s">
        <v>38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1.9809965269904406</v>
      </c>
      <c r="M7" s="24">
        <v>3.8783701861158972</v>
      </c>
      <c r="N7" s="24">
        <v>5.7200990203808155</v>
      </c>
      <c r="O7" s="24">
        <v>7.5141250176159868</v>
      </c>
      <c r="P7" s="24">
        <v>9.2706150190580061</v>
      </c>
      <c r="Q7" s="24">
        <v>10.984721254901489</v>
      </c>
      <c r="R7" s="24">
        <v>12.557797434378054</v>
      </c>
      <c r="S7" s="24">
        <v>14.134394669076528</v>
      </c>
      <c r="T7" s="24">
        <v>15.566587523609462</v>
      </c>
      <c r="U7" s="17">
        <v>16.99142026116569</v>
      </c>
      <c r="V7" s="24">
        <v>18.322605920410737</v>
      </c>
      <c r="W7" s="24">
        <v>19.647478648444814</v>
      </c>
      <c r="X7" s="24">
        <v>20.984306420467217</v>
      </c>
      <c r="Y7" s="24">
        <v>22.385242496852705</v>
      </c>
      <c r="Z7" s="17">
        <v>23.618027536926213</v>
      </c>
      <c r="AA7" s="24">
        <v>24.846030630971036</v>
      </c>
      <c r="AB7" s="24">
        <v>26.073452353745541</v>
      </c>
      <c r="AC7" s="24">
        <v>27.302225461427184</v>
      </c>
      <c r="AD7" s="24">
        <v>28.527104821456518</v>
      </c>
      <c r="AE7" s="24">
        <v>29.749043701253456</v>
      </c>
      <c r="AF7" s="24">
        <v>30.903725735233191</v>
      </c>
      <c r="AG7" s="24">
        <v>32.060198129166139</v>
      </c>
      <c r="AH7" s="24">
        <v>33.210315028205891</v>
      </c>
      <c r="AI7" s="24">
        <v>34.357894477405942</v>
      </c>
      <c r="AJ7" s="24">
        <v>35.500296892778493</v>
      </c>
      <c r="AK7" s="24">
        <v>36.573121000695537</v>
      </c>
      <c r="AL7" s="24">
        <v>37.64142639974785</v>
      </c>
      <c r="AM7" s="24">
        <v>38.703176496576084</v>
      </c>
      <c r="AN7" s="24">
        <v>39.764257787765672</v>
      </c>
      <c r="AO7" s="24">
        <v>40.81181732532815</v>
      </c>
    </row>
    <row r="8" spans="1:41" x14ac:dyDescent="0.35">
      <c r="A8" t="s">
        <v>103</v>
      </c>
      <c r="C8" s="24">
        <f>SUM(C3:C7)</f>
        <v>2003.5386284160406</v>
      </c>
      <c r="D8" s="24">
        <f t="shared" ref="D8:AO8" si="0">SUM(D3:D7)</f>
        <v>2001.0058237928981</v>
      </c>
      <c r="E8" s="24">
        <f t="shared" si="0"/>
        <v>1997.0401941336411</v>
      </c>
      <c r="F8" s="24">
        <f t="shared" si="0"/>
        <v>1984.8481425125458</v>
      </c>
      <c r="G8" s="24">
        <f t="shared" si="0"/>
        <v>1971.7996728898729</v>
      </c>
      <c r="H8" s="24">
        <f t="shared" si="0"/>
        <v>1958.9702795940464</v>
      </c>
      <c r="I8" s="24">
        <f t="shared" si="0"/>
        <v>1945.4194832682206</v>
      </c>
      <c r="J8" s="24">
        <f t="shared" si="0"/>
        <v>1931.8224406252559</v>
      </c>
      <c r="K8" s="24">
        <f t="shared" si="0"/>
        <v>1915.5607815397618</v>
      </c>
      <c r="L8" s="24">
        <f t="shared" si="0"/>
        <v>1898.6298329346967</v>
      </c>
      <c r="M8" s="24">
        <f t="shared" si="0"/>
        <v>1880.7568344836582</v>
      </c>
      <c r="N8" s="24">
        <f t="shared" si="0"/>
        <v>1862.8058209575022</v>
      </c>
      <c r="O8" s="24">
        <f t="shared" si="0"/>
        <v>1844.4656353022613</v>
      </c>
      <c r="P8" s="24">
        <f t="shared" si="0"/>
        <v>1827.0257103246238</v>
      </c>
      <c r="Q8" s="24">
        <f t="shared" si="0"/>
        <v>1809.6659719315442</v>
      </c>
      <c r="R8" s="24">
        <f t="shared" si="0"/>
        <v>1792.7396341199731</v>
      </c>
      <c r="S8" s="24">
        <f t="shared" si="0"/>
        <v>1775.6730802206835</v>
      </c>
      <c r="T8" s="24">
        <f t="shared" si="0"/>
        <v>1758.6259071189504</v>
      </c>
      <c r="U8" s="24">
        <f t="shared" si="0"/>
        <v>1741.8136128816234</v>
      </c>
      <c r="V8" s="24">
        <f t="shared" si="0"/>
        <v>1723.9674495950355</v>
      </c>
      <c r="W8" s="24">
        <f t="shared" si="0"/>
        <v>1706.2234961036831</v>
      </c>
      <c r="X8" s="24">
        <f t="shared" si="0"/>
        <v>1688.4641900177251</v>
      </c>
      <c r="Y8" s="24">
        <f t="shared" si="0"/>
        <v>1670.8483508399486</v>
      </c>
      <c r="Z8" s="24">
        <f t="shared" si="0"/>
        <v>1652.6405833520955</v>
      </c>
      <c r="AA8" s="24">
        <f t="shared" si="0"/>
        <v>1634.9780605192279</v>
      </c>
      <c r="AB8" s="24">
        <f t="shared" si="0"/>
        <v>1617.3484081518679</v>
      </c>
      <c r="AC8" s="24">
        <f t="shared" si="0"/>
        <v>1599.6191967755051</v>
      </c>
      <c r="AD8" s="24">
        <f t="shared" si="0"/>
        <v>1582.0241915066524</v>
      </c>
      <c r="AE8" s="24">
        <f t="shared" si="0"/>
        <v>1564.764745464181</v>
      </c>
      <c r="AF8" s="24">
        <f t="shared" si="0"/>
        <v>1547.4177841007886</v>
      </c>
      <c r="AG8" s="24">
        <f t="shared" si="0"/>
        <v>1530.0814019724528</v>
      </c>
      <c r="AH8" s="24">
        <f t="shared" si="0"/>
        <v>1513.2882105883148</v>
      </c>
      <c r="AI8" s="24">
        <f t="shared" si="0"/>
        <v>1496.6259770827653</v>
      </c>
      <c r="AJ8" s="24">
        <f t="shared" si="0"/>
        <v>1480.2188407389983</v>
      </c>
      <c r="AK8" s="24">
        <f t="shared" si="0"/>
        <v>1463.4302210075778</v>
      </c>
      <c r="AL8" s="24">
        <f t="shared" si="0"/>
        <v>1447.6707403549697</v>
      </c>
      <c r="AM8" s="24">
        <f t="shared" si="0"/>
        <v>1431.585578347258</v>
      </c>
      <c r="AN8" s="24">
        <f t="shared" si="0"/>
        <v>1415.3302120491783</v>
      </c>
      <c r="AO8" s="24">
        <f t="shared" si="0"/>
        <v>1398.9524910961406</v>
      </c>
    </row>
    <row r="10" spans="1:41" x14ac:dyDescent="0.35">
      <c r="A10" s="1" t="s">
        <v>114</v>
      </c>
    </row>
    <row r="11" spans="1:41" x14ac:dyDescent="0.35">
      <c r="A11" t="s">
        <v>102</v>
      </c>
      <c r="B11" t="s">
        <v>105</v>
      </c>
      <c r="C11" s="25">
        <v>3896847381.9112215</v>
      </c>
      <c r="D11" s="25">
        <v>3885420662.2202659</v>
      </c>
      <c r="E11" s="25">
        <v>3874028852.9560761</v>
      </c>
      <c r="F11" s="25">
        <v>3862698423.2289619</v>
      </c>
      <c r="G11" s="25">
        <v>3851393155.4048667</v>
      </c>
      <c r="H11" s="25">
        <v>3840122423.765769</v>
      </c>
      <c r="I11" s="25">
        <v>3828886119.0642619</v>
      </c>
      <c r="J11" s="25">
        <v>3817684132.4077926</v>
      </c>
      <c r="K11" s="25">
        <v>3806516355.2574897</v>
      </c>
      <c r="L11" s="25">
        <v>3795378085.7528377</v>
      </c>
      <c r="M11" s="25">
        <v>3784273837.9817395</v>
      </c>
      <c r="N11" s="25">
        <v>3773198113.175601</v>
      </c>
      <c r="O11" s="25">
        <v>3762156218.8914742</v>
      </c>
      <c r="P11" s="25">
        <v>3751159359.7469196</v>
      </c>
      <c r="Q11" s="25">
        <v>3740196066.6729207</v>
      </c>
      <c r="R11" s="25">
        <v>3729263553.0974422</v>
      </c>
      <c r="S11" s="25">
        <v>3718364412.5407515</v>
      </c>
      <c r="T11" s="25">
        <v>3707461053.8999496</v>
      </c>
      <c r="U11" s="25">
        <v>3696590448.077559</v>
      </c>
      <c r="V11" s="25">
        <v>3685764760.1513481</v>
      </c>
      <c r="W11" s="25">
        <v>3674972166.7627349</v>
      </c>
      <c r="X11" s="25">
        <v>3664226593.7392621</v>
      </c>
      <c r="Y11" s="25">
        <v>3653519104.7373028</v>
      </c>
      <c r="Z11" s="25">
        <v>3642839059.7884731</v>
      </c>
      <c r="AA11" s="25">
        <v>3632191629.1969619</v>
      </c>
      <c r="AB11" s="25">
        <v>3621576709.7466559</v>
      </c>
      <c r="AC11" s="25">
        <v>3610994198.5570855</v>
      </c>
      <c r="AD11" s="25">
        <v>3600443993.0823359</v>
      </c>
      <c r="AE11" s="25">
        <v>3589925991.1099219</v>
      </c>
      <c r="AF11" s="25">
        <v>3579435015.3260689</v>
      </c>
      <c r="AG11" s="25">
        <v>3568976066.3759322</v>
      </c>
      <c r="AH11" s="25">
        <v>3558549042.9296041</v>
      </c>
      <c r="AI11" s="25">
        <v>3548153843.9866385</v>
      </c>
      <c r="AJ11" s="25">
        <v>3537790368.8749595</v>
      </c>
      <c r="AK11" s="25">
        <v>3527447714.7654428</v>
      </c>
      <c r="AL11" s="25">
        <v>3517136632.6360412</v>
      </c>
      <c r="AM11" s="25">
        <v>3506857022.629848</v>
      </c>
      <c r="AN11" s="25">
        <v>3496608785.2144852</v>
      </c>
      <c r="AO11" s="25">
        <v>3486391821.1810284</v>
      </c>
    </row>
    <row r="12" spans="1:41" x14ac:dyDescent="0.35">
      <c r="A12" t="s">
        <v>98</v>
      </c>
      <c r="B12" t="s">
        <v>105</v>
      </c>
      <c r="C12" s="25">
        <v>4504773611.603446</v>
      </c>
      <c r="D12" s="25">
        <v>4493983191.8979292</v>
      </c>
      <c r="E12" s="25">
        <v>4483219787.5778999</v>
      </c>
      <c r="F12" s="25">
        <v>4472526568.9987364</v>
      </c>
      <c r="G12" s="25">
        <v>4461848788.6750441</v>
      </c>
      <c r="H12" s="25">
        <v>4451197720.1654358</v>
      </c>
      <c r="I12" s="25">
        <v>4440573293.8859787</v>
      </c>
      <c r="J12" s="25">
        <v>4429975440.4399815</v>
      </c>
      <c r="K12" s="25">
        <v>4419404090.6174641</v>
      </c>
      <c r="L12" s="25">
        <v>4408854769.9225903</v>
      </c>
      <c r="M12" s="25">
        <v>4398331835.8363285</v>
      </c>
      <c r="N12" s="25">
        <v>4387831184.4737034</v>
      </c>
      <c r="O12" s="25">
        <v>4377356797.4444742</v>
      </c>
      <c r="P12" s="25">
        <v>4366917820.0776768</v>
      </c>
      <c r="Q12" s="25">
        <v>4356504935.4003448</v>
      </c>
      <c r="R12" s="25">
        <v>4346115925.3568716</v>
      </c>
      <c r="S12" s="25">
        <v>4335752885.088398</v>
      </c>
      <c r="T12" s="25">
        <v>4325365992.02948</v>
      </c>
      <c r="U12" s="25">
        <v>4315004388.3215666</v>
      </c>
      <c r="V12" s="25">
        <v>4304683845.3157253</v>
      </c>
      <c r="W12" s="25">
        <v>4294389155.7801137</v>
      </c>
      <c r="X12" s="25">
        <v>4284141462.2267756</v>
      </c>
      <c r="Y12" s="25">
        <v>4273923359.8769569</v>
      </c>
      <c r="Z12" s="25">
        <v>4263726867.8199749</v>
      </c>
      <c r="AA12" s="25">
        <v>4253555880.1398497</v>
      </c>
      <c r="AB12" s="25">
        <v>4243410330.3638215</v>
      </c>
      <c r="AC12" s="25">
        <v>4233290152.1982021</v>
      </c>
      <c r="AD12" s="25">
        <v>4223195279.5278702</v>
      </c>
      <c r="AE12" s="25">
        <v>4213125646.4157887</v>
      </c>
      <c r="AF12" s="25">
        <v>4203072332.3888383</v>
      </c>
      <c r="AG12" s="25">
        <v>4193044166.9306307</v>
      </c>
      <c r="AH12" s="25">
        <v>4183041084.4905128</v>
      </c>
      <c r="AI12" s="25">
        <v>4173063019.6944427</v>
      </c>
      <c r="AJ12" s="25">
        <v>4163109907.3444867</v>
      </c>
      <c r="AK12" s="25">
        <v>4153172820.8713307</v>
      </c>
      <c r="AL12" s="25">
        <v>4143260590.6579452</v>
      </c>
      <c r="AM12" s="25">
        <v>4133373151.9357991</v>
      </c>
      <c r="AN12" s="25">
        <v>4123510440.1107812</v>
      </c>
      <c r="AO12" s="25">
        <v>4113672390.7627201</v>
      </c>
    </row>
    <row r="13" spans="1:41" x14ac:dyDescent="0.35">
      <c r="A13" t="s">
        <v>99</v>
      </c>
      <c r="B13" t="s">
        <v>105</v>
      </c>
      <c r="C13" s="25">
        <v>3094739302.8886118</v>
      </c>
      <c r="D13" s="25">
        <v>3093970788.4554524</v>
      </c>
      <c r="E13" s="25">
        <v>3093202473.2384095</v>
      </c>
      <c r="F13" s="25">
        <v>3092437875.5142021</v>
      </c>
      <c r="G13" s="25">
        <v>3091672855.1348429</v>
      </c>
      <c r="H13" s="25">
        <v>3090908032.7434392</v>
      </c>
      <c r="I13" s="25">
        <v>3090143408.2864904</v>
      </c>
      <c r="J13" s="25">
        <v>3089378981.7105193</v>
      </c>
      <c r="K13" s="25">
        <v>3081385463.0201106</v>
      </c>
      <c r="L13" s="25">
        <v>3073408327.2507133</v>
      </c>
      <c r="M13" s="25">
        <v>3065452882.7500072</v>
      </c>
      <c r="N13" s="25">
        <v>3057517521.661994</v>
      </c>
      <c r="O13" s="25">
        <v>3049603734.9638023</v>
      </c>
      <c r="P13" s="25">
        <v>3041727031.2526546</v>
      </c>
      <c r="Q13" s="25">
        <v>3033871712.0135365</v>
      </c>
      <c r="R13" s="25">
        <v>3026036306.9222674</v>
      </c>
      <c r="S13" s="25">
        <v>3018222174.2791934</v>
      </c>
      <c r="T13" s="25">
        <v>3010367717.9592619</v>
      </c>
      <c r="U13" s="25">
        <v>3002533931.2568369</v>
      </c>
      <c r="V13" s="25">
        <v>2994734860.9812336</v>
      </c>
      <c r="W13" s="25">
        <v>2986957050.591423</v>
      </c>
      <c r="X13" s="25">
        <v>2979236799.2442737</v>
      </c>
      <c r="Y13" s="25">
        <v>2971539040.0492282</v>
      </c>
      <c r="Z13" s="25">
        <v>2963860688.9641747</v>
      </c>
      <c r="AA13" s="25">
        <v>2956203200.0792356</v>
      </c>
      <c r="AB13" s="25">
        <v>2948566513.9402442</v>
      </c>
      <c r="AC13" s="25">
        <v>2940950571.2696137</v>
      </c>
      <c r="AD13" s="25">
        <v>2933355312.9658136</v>
      </c>
      <c r="AE13" s="25">
        <v>2925780680.1028142</v>
      </c>
      <c r="AF13" s="25">
        <v>2918221669.2011476</v>
      </c>
      <c r="AG13" s="25">
        <v>2910683191.3981252</v>
      </c>
      <c r="AH13" s="25">
        <v>2903165188.1916423</v>
      </c>
      <c r="AI13" s="25">
        <v>2895667601.2533298</v>
      </c>
      <c r="AJ13" s="25">
        <v>2888190372.4280157</v>
      </c>
      <c r="AK13" s="25">
        <v>2880718547.7957902</v>
      </c>
      <c r="AL13" s="25">
        <v>2873267029.7762189</v>
      </c>
      <c r="AM13" s="25">
        <v>2865835760.5223842</v>
      </c>
      <c r="AN13" s="25">
        <v>2858424682.3590512</v>
      </c>
      <c r="AO13" s="25">
        <v>2851033737.7821369</v>
      </c>
    </row>
    <row r="14" spans="1:41" x14ac:dyDescent="0.35">
      <c r="A14" t="s">
        <v>100</v>
      </c>
      <c r="B14" t="s">
        <v>105</v>
      </c>
      <c r="C14" s="25">
        <v>0</v>
      </c>
      <c r="D14" s="25">
        <v>285621087.51758736</v>
      </c>
      <c r="E14" s="25">
        <v>580658098.49597871</v>
      </c>
      <c r="F14" s="25">
        <v>701742455.44256842</v>
      </c>
      <c r="G14" s="25">
        <v>799394982.67471373</v>
      </c>
      <c r="H14" s="25">
        <v>907467427.83995807</v>
      </c>
      <c r="I14" s="25">
        <v>999875235.6809442</v>
      </c>
      <c r="J14" s="25">
        <v>1095637498.7496722</v>
      </c>
      <c r="K14" s="25">
        <v>1191760095.9625943</v>
      </c>
      <c r="L14" s="25">
        <v>1191427698.1406326</v>
      </c>
      <c r="M14" s="25">
        <v>1191095396.0453877</v>
      </c>
      <c r="N14" s="25">
        <v>1190763111.3043294</v>
      </c>
      <c r="O14" s="25">
        <v>1190430922.2654023</v>
      </c>
      <c r="P14" s="25">
        <v>1190099208.6564355</v>
      </c>
      <c r="Q14" s="25">
        <v>1189767590.534862</v>
      </c>
      <c r="R14" s="25">
        <v>1189435680.4247272</v>
      </c>
      <c r="S14" s="25">
        <v>1189103865.9937007</v>
      </c>
      <c r="T14" s="25">
        <v>1188770578.5228028</v>
      </c>
      <c r="U14" s="25">
        <v>1188437355.6584709</v>
      </c>
      <c r="V14" s="25">
        <v>1188104903.5827398</v>
      </c>
      <c r="W14" s="25">
        <v>1187772547.5563648</v>
      </c>
      <c r="X14" s="25">
        <v>1187440676.0613475</v>
      </c>
      <c r="Y14" s="25">
        <v>1183953055.7423918</v>
      </c>
      <c r="Z14" s="25">
        <v>1180475243.164124</v>
      </c>
      <c r="AA14" s="25">
        <v>1177008016.4968512</v>
      </c>
      <c r="AB14" s="25">
        <v>1173551342.634511</v>
      </c>
      <c r="AC14" s="25">
        <v>1170105188.5766175</v>
      </c>
      <c r="AD14" s="25">
        <v>1166669521.4279222</v>
      </c>
      <c r="AE14" s="25">
        <v>1163244308.3980727</v>
      </c>
      <c r="AF14" s="25">
        <v>1159828132.5492182</v>
      </c>
      <c r="AG14" s="25">
        <v>1156422353.7014296</v>
      </c>
      <c r="AH14" s="25">
        <v>1153026939.3395951</v>
      </c>
      <c r="AI14" s="25">
        <v>1149641857.0523086</v>
      </c>
      <c r="AJ14" s="25">
        <v>1146267074.5315268</v>
      </c>
      <c r="AK14" s="25">
        <v>1142898731.3359911</v>
      </c>
      <c r="AL14" s="25">
        <v>1139540640.1227481</v>
      </c>
      <c r="AM14" s="25">
        <v>1136192768.8383667</v>
      </c>
      <c r="AN14" s="25">
        <v>1132855085.5316088</v>
      </c>
      <c r="AO14" s="25">
        <v>1129527558.3530979</v>
      </c>
    </row>
    <row r="15" spans="1:41" x14ac:dyDescent="0.35">
      <c r="A15" t="s">
        <v>101</v>
      </c>
      <c r="B15" t="s">
        <v>105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93743098.887765735</v>
      </c>
      <c r="M15" s="25">
        <v>183671427.81931868</v>
      </c>
      <c r="N15" s="25">
        <v>271096443.88348812</v>
      </c>
      <c r="O15" s="25">
        <v>358091909.25715417</v>
      </c>
      <c r="P15" s="25">
        <v>446854845.22310138</v>
      </c>
      <c r="Q15" s="25">
        <v>534956511.50574458</v>
      </c>
      <c r="R15" s="25">
        <v>620610216.75729096</v>
      </c>
      <c r="S15" s="25">
        <v>706457796.60969591</v>
      </c>
      <c r="T15" s="25">
        <v>782561841.36436462</v>
      </c>
      <c r="U15" s="25">
        <v>858435794.0529052</v>
      </c>
      <c r="V15" s="25">
        <v>934052351.74379897</v>
      </c>
      <c r="W15" s="25">
        <v>1009555247.6643574</v>
      </c>
      <c r="X15" s="25">
        <v>1085431018.9377952</v>
      </c>
      <c r="Y15" s="25">
        <v>1164522354.8259547</v>
      </c>
      <c r="Z15" s="25">
        <v>1243422930.1380289</v>
      </c>
      <c r="AA15" s="25">
        <v>1321339608.844336</v>
      </c>
      <c r="AB15" s="25">
        <v>1399219618.9390497</v>
      </c>
      <c r="AC15" s="25">
        <v>1476828906.5725687</v>
      </c>
      <c r="AD15" s="25">
        <v>1554267202.8367257</v>
      </c>
      <c r="AE15" s="25">
        <v>1631637590.5088789</v>
      </c>
      <c r="AF15" s="25">
        <v>1703392238.4534938</v>
      </c>
      <c r="AG15" s="25">
        <v>1775077947.6245294</v>
      </c>
      <c r="AH15" s="25">
        <v>1846470049.4673121</v>
      </c>
      <c r="AI15" s="25">
        <v>1917789792.5822642</v>
      </c>
      <c r="AJ15" s="25">
        <v>1988816144.0548022</v>
      </c>
      <c r="AK15" s="25">
        <v>2054130044.3169935</v>
      </c>
      <c r="AL15" s="25">
        <v>2119272115.522402</v>
      </c>
      <c r="AM15" s="25">
        <v>2184262331.2153649</v>
      </c>
      <c r="AN15" s="25">
        <v>2249127090.4681649</v>
      </c>
      <c r="AO15" s="25">
        <v>2313890006.0310221</v>
      </c>
    </row>
    <row r="16" spans="1:41" x14ac:dyDescent="0.35">
      <c r="T16" s="5" t="s">
        <v>120</v>
      </c>
      <c r="U16" s="29">
        <f>SUM(U11)/SUM(U11:U14)</f>
        <v>0.30293549821580473</v>
      </c>
      <c r="V16" s="27"/>
      <c r="Z16" s="27">
        <f>SUM(Z11)/SUM(Z11:Z14)</f>
        <v>0.30228767126214501</v>
      </c>
    </row>
    <row r="17" spans="1:41" x14ac:dyDescent="0.35">
      <c r="A17" s="1" t="s">
        <v>115</v>
      </c>
    </row>
    <row r="18" spans="1:41" x14ac:dyDescent="0.35">
      <c r="A18" t="s">
        <v>102</v>
      </c>
      <c r="C18" s="24">
        <f t="shared" ref="C18:AO22" si="1">C3*10^9/C11</f>
        <v>190.46623509884517</v>
      </c>
      <c r="D18" s="24">
        <f t="shared" si="1"/>
        <v>188.76614470187803</v>
      </c>
      <c r="E18" s="24">
        <f t="shared" si="1"/>
        <v>187.0036800402498</v>
      </c>
      <c r="F18" s="24">
        <f t="shared" si="1"/>
        <v>185.16034291665758</v>
      </c>
      <c r="G18" s="24">
        <f t="shared" si="1"/>
        <v>183.31862217431578</v>
      </c>
      <c r="H18" s="24">
        <f t="shared" si="1"/>
        <v>181.51102090801572</v>
      </c>
      <c r="I18" s="24">
        <f t="shared" si="1"/>
        <v>179.73099543776937</v>
      </c>
      <c r="J18" s="24">
        <f t="shared" si="1"/>
        <v>177.91776513073449</v>
      </c>
      <c r="K18" s="24">
        <f t="shared" si="1"/>
        <v>176.06555184862694</v>
      </c>
      <c r="L18" s="24">
        <f t="shared" si="1"/>
        <v>174.25662968459139</v>
      </c>
      <c r="M18" s="24">
        <f t="shared" si="1"/>
        <v>172.30116412490472</v>
      </c>
      <c r="N18" s="24">
        <f t="shared" si="1"/>
        <v>170.43465649622286</v>
      </c>
      <c r="O18" s="24">
        <f t="shared" si="1"/>
        <v>168.49494614136583</v>
      </c>
      <c r="P18" s="24">
        <f t="shared" si="1"/>
        <v>166.63775376305225</v>
      </c>
      <c r="Q18" s="24">
        <f t="shared" si="1"/>
        <v>164.76562037314378</v>
      </c>
      <c r="R18" s="24">
        <f t="shared" si="1"/>
        <v>162.99206056072487</v>
      </c>
      <c r="S18" s="24">
        <f t="shared" si="1"/>
        <v>161.22436592512682</v>
      </c>
      <c r="T18" s="24">
        <f t="shared" si="1"/>
        <v>159.44576854901524</v>
      </c>
      <c r="U18" s="24">
        <f t="shared" si="1"/>
        <v>157.74256689727889</v>
      </c>
      <c r="V18" s="24">
        <f t="shared" si="1"/>
        <v>155.96809711576537</v>
      </c>
      <c r="W18" s="24">
        <f t="shared" si="1"/>
        <v>154.24600778842486</v>
      </c>
      <c r="X18" s="24">
        <f t="shared" si="1"/>
        <v>152.49179955525122</v>
      </c>
      <c r="Y18" s="24">
        <f t="shared" si="1"/>
        <v>150.78399257030978</v>
      </c>
      <c r="Z18" s="24">
        <f t="shared" si="1"/>
        <v>149.05265748996607</v>
      </c>
      <c r="AA18" s="24">
        <f t="shared" si="1"/>
        <v>147.39622922948018</v>
      </c>
      <c r="AB18" s="24">
        <f t="shared" si="1"/>
        <v>145.75305175768372</v>
      </c>
      <c r="AC18" s="24">
        <f t="shared" si="1"/>
        <v>144.07822420599305</v>
      </c>
      <c r="AD18" s="24">
        <f t="shared" si="1"/>
        <v>142.44594704179013</v>
      </c>
      <c r="AE18" s="24">
        <f t="shared" si="1"/>
        <v>140.87381793684668</v>
      </c>
      <c r="AF18" s="24">
        <f t="shared" si="1"/>
        <v>139.29452124536022</v>
      </c>
      <c r="AG18" s="24">
        <f t="shared" si="1"/>
        <v>137.74226750935276</v>
      </c>
      <c r="AH18" s="24">
        <f t="shared" si="1"/>
        <v>136.24939776652815</v>
      </c>
      <c r="AI18" s="24">
        <f t="shared" si="1"/>
        <v>134.79304661362852</v>
      </c>
      <c r="AJ18" s="24">
        <f t="shared" si="1"/>
        <v>133.35721197191785</v>
      </c>
      <c r="AK18" s="24">
        <f t="shared" si="1"/>
        <v>131.8980550884215</v>
      </c>
      <c r="AL18" s="24">
        <f t="shared" si="1"/>
        <v>130.55332983644234</v>
      </c>
      <c r="AM18" s="24">
        <f t="shared" si="1"/>
        <v>129.21533287567323</v>
      </c>
      <c r="AN18" s="24">
        <f t="shared" si="1"/>
        <v>127.84118557670185</v>
      </c>
      <c r="AO18" s="24">
        <f t="shared" si="1"/>
        <v>126.44171448163847</v>
      </c>
    </row>
    <row r="19" spans="1:41" x14ac:dyDescent="0.35">
      <c r="A19" t="s">
        <v>98</v>
      </c>
      <c r="B19" t="s">
        <v>118</v>
      </c>
      <c r="C19" s="24">
        <f t="shared" si="1"/>
        <v>195.03548126447339</v>
      </c>
      <c r="D19" s="24">
        <f t="shared" si="1"/>
        <v>194.00175708646196</v>
      </c>
      <c r="E19" s="24">
        <f t="shared" si="1"/>
        <v>192.92982434368813</v>
      </c>
      <c r="F19" s="24">
        <f t="shared" si="1"/>
        <v>191.84544464016443</v>
      </c>
      <c r="G19" s="24">
        <f t="shared" si="1"/>
        <v>190.75688395811761</v>
      </c>
      <c r="H19" s="24">
        <f t="shared" si="1"/>
        <v>189.66710963375016</v>
      </c>
      <c r="I19" s="24">
        <f t="shared" si="1"/>
        <v>188.53688495899317</v>
      </c>
      <c r="J19" s="24">
        <f t="shared" si="1"/>
        <v>187.38096462098756</v>
      </c>
      <c r="K19" s="24">
        <f t="shared" si="1"/>
        <v>186.17615831508172</v>
      </c>
      <c r="L19" s="24">
        <f t="shared" si="1"/>
        <v>184.86260124321424</v>
      </c>
      <c r="M19" s="24">
        <f t="shared" si="1"/>
        <v>183.49618223511325</v>
      </c>
      <c r="N19" s="24">
        <f t="shared" si="1"/>
        <v>182.0596434802211</v>
      </c>
      <c r="O19" s="24">
        <f t="shared" si="1"/>
        <v>180.62966855307596</v>
      </c>
      <c r="P19" s="24">
        <f t="shared" si="1"/>
        <v>179.2844186874855</v>
      </c>
      <c r="Q19" s="24">
        <f t="shared" si="1"/>
        <v>177.94801785653544</v>
      </c>
      <c r="R19" s="24">
        <f t="shared" si="1"/>
        <v>176.61696279644246</v>
      </c>
      <c r="S19" s="24">
        <f t="shared" si="1"/>
        <v>175.2523762620167</v>
      </c>
      <c r="T19" s="24">
        <f t="shared" si="1"/>
        <v>173.91249269638166</v>
      </c>
      <c r="U19" s="24">
        <f t="shared" si="1"/>
        <v>172.56126525429849</v>
      </c>
      <c r="V19" s="24">
        <f t="shared" si="1"/>
        <v>171.07582062990849</v>
      </c>
      <c r="W19" s="24">
        <f t="shared" si="1"/>
        <v>169.55278021311565</v>
      </c>
      <c r="X19" s="24">
        <f t="shared" si="1"/>
        <v>168.014300686799</v>
      </c>
      <c r="Y19" s="24">
        <f t="shared" si="1"/>
        <v>166.5167834701233</v>
      </c>
      <c r="Z19" s="24">
        <f t="shared" si="1"/>
        <v>164.94182555406599</v>
      </c>
      <c r="AA19" s="24">
        <f t="shared" si="1"/>
        <v>163.39322603814247</v>
      </c>
      <c r="AB19" s="24">
        <f t="shared" si="1"/>
        <v>161.83424361587001</v>
      </c>
      <c r="AC19" s="24">
        <f t="shared" si="1"/>
        <v>160.28448962219159</v>
      </c>
      <c r="AD19" s="24">
        <f t="shared" si="1"/>
        <v>158.69647659328115</v>
      </c>
      <c r="AE19" s="24">
        <f t="shared" si="1"/>
        <v>157.12205209677842</v>
      </c>
      <c r="AF19" s="24">
        <f t="shared" si="1"/>
        <v>155.55114840243752</v>
      </c>
      <c r="AG19" s="24">
        <f t="shared" si="1"/>
        <v>153.94766224954097</v>
      </c>
      <c r="AH19" s="24">
        <f t="shared" si="1"/>
        <v>152.40609929720833</v>
      </c>
      <c r="AI19" s="24">
        <f t="shared" si="1"/>
        <v>150.8231096481903</v>
      </c>
      <c r="AJ19" s="24">
        <f t="shared" si="1"/>
        <v>149.28274075275078</v>
      </c>
      <c r="AK19" s="24">
        <f t="shared" si="1"/>
        <v>147.67973073260461</v>
      </c>
      <c r="AL19" s="24">
        <f t="shared" si="1"/>
        <v>146.20968743062949</v>
      </c>
      <c r="AM19" s="24">
        <f t="shared" si="1"/>
        <v>144.66325915283525</v>
      </c>
      <c r="AN19" s="24">
        <f t="shared" si="1"/>
        <v>143.06881752880963</v>
      </c>
      <c r="AO19" s="24">
        <f t="shared" si="1"/>
        <v>141.51028203394617</v>
      </c>
    </row>
    <row r="20" spans="1:41" x14ac:dyDescent="0.35">
      <c r="A20" t="s">
        <v>99</v>
      </c>
      <c r="B20" t="s">
        <v>118</v>
      </c>
      <c r="C20" s="24">
        <f t="shared" si="1"/>
        <v>123.67118908684903</v>
      </c>
      <c r="D20" s="24">
        <f t="shared" si="1"/>
        <v>123.47045776219647</v>
      </c>
      <c r="E20" s="24">
        <f t="shared" si="1"/>
        <v>123.21132041610961</v>
      </c>
      <c r="F20" s="24">
        <f t="shared" si="1"/>
        <v>122.92421758280346</v>
      </c>
      <c r="G20" s="24">
        <f t="shared" si="1"/>
        <v>122.63786761389477</v>
      </c>
      <c r="H20" s="24">
        <f t="shared" si="1"/>
        <v>122.31769156836359</v>
      </c>
      <c r="I20" s="24">
        <f t="shared" si="1"/>
        <v>121.98309491203246</v>
      </c>
      <c r="J20" s="24">
        <f t="shared" si="1"/>
        <v>121.64511800426214</v>
      </c>
      <c r="K20" s="24">
        <f t="shared" si="1"/>
        <v>121.23817493536984</v>
      </c>
      <c r="L20" s="24">
        <f t="shared" si="1"/>
        <v>120.80181055986567</v>
      </c>
      <c r="M20" s="24">
        <f t="shared" si="1"/>
        <v>120.3142078843815</v>
      </c>
      <c r="N20" s="24">
        <f t="shared" si="1"/>
        <v>119.78071807485463</v>
      </c>
      <c r="O20" s="24">
        <f t="shared" si="1"/>
        <v>119.1884817401568</v>
      </c>
      <c r="P20" s="24">
        <f t="shared" si="1"/>
        <v>118.64905622507089</v>
      </c>
      <c r="Q20" s="24">
        <f t="shared" si="1"/>
        <v>118.12606748651834</v>
      </c>
      <c r="R20" s="24">
        <f t="shared" si="1"/>
        <v>117.63658740632485</v>
      </c>
      <c r="S20" s="24">
        <f t="shared" si="1"/>
        <v>117.11407116690617</v>
      </c>
      <c r="T20" s="24">
        <f t="shared" si="1"/>
        <v>116.6025168766247</v>
      </c>
      <c r="U20" s="24">
        <f t="shared" si="1"/>
        <v>116.06069499713355</v>
      </c>
      <c r="V20" s="24">
        <f t="shared" si="1"/>
        <v>115.4766641056208</v>
      </c>
      <c r="W20" s="24">
        <f t="shared" si="1"/>
        <v>114.88855408897982</v>
      </c>
      <c r="X20" s="24">
        <f t="shared" si="1"/>
        <v>114.31586714103983</v>
      </c>
      <c r="Y20" s="24">
        <f t="shared" si="1"/>
        <v>113.67096694957306</v>
      </c>
      <c r="Z20" s="24">
        <f t="shared" si="1"/>
        <v>112.99815667512243</v>
      </c>
      <c r="AA20" s="24">
        <f t="shared" si="1"/>
        <v>112.3476508190205</v>
      </c>
      <c r="AB20" s="24">
        <f t="shared" si="1"/>
        <v>111.67611632799394</v>
      </c>
      <c r="AC20" s="24">
        <f t="shared" si="1"/>
        <v>110.96635631089546</v>
      </c>
      <c r="AD20" s="24">
        <f t="shared" si="1"/>
        <v>110.2723355016647</v>
      </c>
      <c r="AE20" s="24">
        <f t="shared" si="1"/>
        <v>109.57365669010379</v>
      </c>
      <c r="AF20" s="24">
        <f t="shared" si="1"/>
        <v>108.83909918322365</v>
      </c>
      <c r="AG20" s="24">
        <f t="shared" si="1"/>
        <v>108.09137939478823</v>
      </c>
      <c r="AH20" s="24">
        <f t="shared" si="1"/>
        <v>107.34658662111649</v>
      </c>
      <c r="AI20" s="24">
        <f t="shared" si="1"/>
        <v>106.63491511629451</v>
      </c>
      <c r="AJ20" s="24">
        <f t="shared" si="1"/>
        <v>105.8996329559867</v>
      </c>
      <c r="AK20" s="24">
        <f t="shared" si="1"/>
        <v>105.14692223261802</v>
      </c>
      <c r="AL20" s="24">
        <f t="shared" si="1"/>
        <v>104.39625464600897</v>
      </c>
      <c r="AM20" s="24">
        <f t="shared" si="1"/>
        <v>103.61135715145208</v>
      </c>
      <c r="AN20" s="24">
        <f t="shared" si="1"/>
        <v>102.85141444926037</v>
      </c>
      <c r="AO20" s="24">
        <f t="shared" si="1"/>
        <v>102.01163362350097</v>
      </c>
    </row>
    <row r="21" spans="1:41" x14ac:dyDescent="0.35">
      <c r="A21" t="s">
        <v>100</v>
      </c>
      <c r="B21" t="s">
        <v>118</v>
      </c>
      <c r="C21" s="26" t="s">
        <v>116</v>
      </c>
      <c r="D21" s="24">
        <f t="shared" si="1"/>
        <v>48.019282683504834</v>
      </c>
      <c r="E21" s="24">
        <f t="shared" si="1"/>
        <v>45.66917255404406</v>
      </c>
      <c r="F21" s="24">
        <f t="shared" si="1"/>
        <v>44.831580410046406</v>
      </c>
      <c r="G21" s="24">
        <f t="shared" si="1"/>
        <v>44.387379236840886</v>
      </c>
      <c r="H21" s="24">
        <f t="shared" si="1"/>
        <v>43.66789971897574</v>
      </c>
      <c r="I21" s="24">
        <f t="shared" si="1"/>
        <v>43.098233866583584</v>
      </c>
      <c r="J21" s="24">
        <f t="shared" si="1"/>
        <v>42.612332818548438</v>
      </c>
      <c r="K21" s="24">
        <f t="shared" si="1"/>
        <v>41.111590792859701</v>
      </c>
      <c r="L21" s="24">
        <f t="shared" si="1"/>
        <v>41.104794767649409</v>
      </c>
      <c r="M21" s="24">
        <f t="shared" si="1"/>
        <v>41.095819305742609</v>
      </c>
      <c r="N21" s="24">
        <f t="shared" si="1"/>
        <v>41.085730481229007</v>
      </c>
      <c r="O21" s="24">
        <f t="shared" si="1"/>
        <v>41.068367220912343</v>
      </c>
      <c r="P21" s="24">
        <f t="shared" si="1"/>
        <v>41.048646073951581</v>
      </c>
      <c r="Q21" s="24">
        <f t="shared" si="1"/>
        <v>41.028830493429915</v>
      </c>
      <c r="R21" s="24">
        <f t="shared" si="1"/>
        <v>41.003567812143565</v>
      </c>
      <c r="S21" s="24">
        <f t="shared" si="1"/>
        <v>40.972416070440588</v>
      </c>
      <c r="T21" s="24">
        <f t="shared" si="1"/>
        <v>40.940370861973214</v>
      </c>
      <c r="U21" s="24">
        <f t="shared" si="1"/>
        <v>40.92242195217014</v>
      </c>
      <c r="V21" s="24">
        <f t="shared" si="1"/>
        <v>40.849772149327023</v>
      </c>
      <c r="W21" s="24">
        <f t="shared" si="1"/>
        <v>40.776691421473743</v>
      </c>
      <c r="X21" s="24">
        <f t="shared" si="1"/>
        <v>40.713028760852481</v>
      </c>
      <c r="Y21" s="24">
        <f t="shared" si="1"/>
        <v>40.637780248303322</v>
      </c>
      <c r="Z21" s="24">
        <f t="shared" si="1"/>
        <v>40.551486094855761</v>
      </c>
      <c r="AA21" s="24">
        <f t="shared" si="1"/>
        <v>40.472092777574005</v>
      </c>
      <c r="AB21" s="24">
        <f t="shared" si="1"/>
        <v>40.394943346712537</v>
      </c>
      <c r="AC21" s="24">
        <f t="shared" si="1"/>
        <v>40.316049852954521</v>
      </c>
      <c r="AD21" s="24">
        <f t="shared" si="1"/>
        <v>40.246427470550792</v>
      </c>
      <c r="AE21" s="24">
        <f t="shared" si="1"/>
        <v>40.168420209476551</v>
      </c>
      <c r="AF21" s="24">
        <f t="shared" si="1"/>
        <v>40.099928995684245</v>
      </c>
      <c r="AG21" s="24">
        <f t="shared" si="1"/>
        <v>40.031429069482819</v>
      </c>
      <c r="AH21" s="24">
        <f t="shared" si="1"/>
        <v>39.948661848170033</v>
      </c>
      <c r="AI21" s="24">
        <f t="shared" si="1"/>
        <v>39.862854319875424</v>
      </c>
      <c r="AJ21" s="24">
        <f t="shared" si="1"/>
        <v>39.772516679961122</v>
      </c>
      <c r="AK21" s="24">
        <f t="shared" si="1"/>
        <v>39.684595641129519</v>
      </c>
      <c r="AL21" s="24">
        <f t="shared" si="1"/>
        <v>39.588112153465424</v>
      </c>
      <c r="AM21" s="24">
        <f t="shared" si="1"/>
        <v>39.484796576634011</v>
      </c>
      <c r="AN21" s="24">
        <f t="shared" si="1"/>
        <v>39.38416997888789</v>
      </c>
      <c r="AO21" s="24">
        <f t="shared" si="1"/>
        <v>39.263995728995916</v>
      </c>
    </row>
    <row r="22" spans="1:41" x14ac:dyDescent="0.35">
      <c r="A22" t="s">
        <v>101</v>
      </c>
      <c r="B22" t="s">
        <v>118</v>
      </c>
      <c r="C22" s="26" t="s">
        <v>116</v>
      </c>
      <c r="D22" s="26" t="s">
        <v>116</v>
      </c>
      <c r="E22" s="26" t="s">
        <v>116</v>
      </c>
      <c r="F22" s="26" t="s">
        <v>116</v>
      </c>
      <c r="G22" s="26" t="s">
        <v>116</v>
      </c>
      <c r="H22" s="26" t="s">
        <v>116</v>
      </c>
      <c r="I22" s="26" t="s">
        <v>116</v>
      </c>
      <c r="J22" s="26" t="s">
        <v>116</v>
      </c>
      <c r="K22" s="26" t="s">
        <v>116</v>
      </c>
      <c r="L22" s="24">
        <f t="shared" si="1"/>
        <v>21.132185200770842</v>
      </c>
      <c r="M22" s="24">
        <f t="shared" si="1"/>
        <v>21.11580571982665</v>
      </c>
      <c r="N22" s="24">
        <f t="shared" si="1"/>
        <v>21.09986740674179</v>
      </c>
      <c r="O22" s="24">
        <f t="shared" si="1"/>
        <v>20.983788863601266</v>
      </c>
      <c r="P22" s="24">
        <f t="shared" si="1"/>
        <v>20.746367904838234</v>
      </c>
      <c r="Q22" s="24">
        <f t="shared" si="1"/>
        <v>20.533858395297859</v>
      </c>
      <c r="R22" s="24">
        <f t="shared" si="1"/>
        <v>20.234596684522796</v>
      </c>
      <c r="S22" s="24">
        <f t="shared" si="1"/>
        <v>20.007415498714504</v>
      </c>
      <c r="T22" s="24">
        <f t="shared" si="1"/>
        <v>19.891830524818015</v>
      </c>
      <c r="U22" s="24">
        <f t="shared" si="1"/>
        <v>19.793466650481388</v>
      </c>
      <c r="V22" s="24">
        <f t="shared" si="1"/>
        <v>19.616251579693511</v>
      </c>
      <c r="W22" s="24">
        <f t="shared" si="1"/>
        <v>19.461519014338212</v>
      </c>
      <c r="X22" s="24">
        <f t="shared" si="1"/>
        <v>19.33269462024634</v>
      </c>
      <c r="Y22" s="24">
        <f t="shared" si="1"/>
        <v>19.222681646328997</v>
      </c>
      <c r="Z22" s="24">
        <f t="shared" si="1"/>
        <v>18.99436383588683</v>
      </c>
      <c r="AA22" s="24">
        <f t="shared" si="1"/>
        <v>18.80366747856878</v>
      </c>
      <c r="AB22" s="24">
        <f t="shared" si="1"/>
        <v>18.634281567260746</v>
      </c>
      <c r="AC22" s="24">
        <f t="shared" si="1"/>
        <v>18.487060579542906</v>
      </c>
      <c r="AD22" s="24">
        <f t="shared" si="1"/>
        <v>18.354054418307935</v>
      </c>
      <c r="AE22" s="24">
        <f t="shared" si="1"/>
        <v>18.232629521593246</v>
      </c>
      <c r="AF22" s="24">
        <f t="shared" si="1"/>
        <v>18.142460108477785</v>
      </c>
      <c r="AG22" s="24">
        <f t="shared" si="1"/>
        <v>18.061290306755375</v>
      </c>
      <c r="AH22" s="24">
        <f t="shared" si="1"/>
        <v>17.985840083237054</v>
      </c>
      <c r="AI22" s="24">
        <f t="shared" si="1"/>
        <v>17.915359968176571</v>
      </c>
      <c r="AJ22" s="24">
        <f t="shared" si="1"/>
        <v>17.849964160287044</v>
      </c>
      <c r="AK22" s="24">
        <f t="shared" si="1"/>
        <v>17.804676535392503</v>
      </c>
      <c r="AL22" s="24">
        <f t="shared" si="1"/>
        <v>17.761488071327364</v>
      </c>
      <c r="AM22" s="24">
        <f t="shared" si="1"/>
        <v>17.719106328698579</v>
      </c>
      <c r="AN22" s="24">
        <f t="shared" si="1"/>
        <v>17.679862537020341</v>
      </c>
      <c r="AO22" s="24">
        <f t="shared" si="1"/>
        <v>17.637751673136787</v>
      </c>
    </row>
    <row r="24" spans="1:41" x14ac:dyDescent="0.35">
      <c r="A24" s="1" t="s">
        <v>119</v>
      </c>
    </row>
    <row r="25" spans="1:41" x14ac:dyDescent="0.35">
      <c r="A25" t="s">
        <v>102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9">
        <f>(U21-U18)/U18</f>
        <v>-0.74057464160058584</v>
      </c>
      <c r="V25" s="24"/>
      <c r="W25" s="24"/>
      <c r="X25" s="24"/>
      <c r="Y25" s="24"/>
      <c r="Z25" s="29">
        <f>(Z21-Z18)/Z18</f>
        <v>-0.72793852335316056</v>
      </c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x14ac:dyDescent="0.35">
      <c r="A26" t="s">
        <v>98</v>
      </c>
      <c r="B26" t="s">
        <v>118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32">
        <f>(U20-U19)/U19</f>
        <v>-0.32742324978842557</v>
      </c>
      <c r="V26" s="33"/>
      <c r="W26" s="33"/>
      <c r="X26" s="33"/>
      <c r="Y26" s="33"/>
      <c r="Z26" s="32">
        <f>(Z20-Z19)/Z19</f>
        <v>-0.31492114692229495</v>
      </c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7" spans="1:41" x14ac:dyDescent="0.35">
      <c r="A27" t="s">
        <v>99</v>
      </c>
      <c r="B27" t="s">
        <v>118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</row>
    <row r="28" spans="1:41" x14ac:dyDescent="0.35">
      <c r="A28" t="s">
        <v>100</v>
      </c>
      <c r="B28" t="s">
        <v>118</v>
      </c>
      <c r="C28" s="26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</row>
    <row r="29" spans="1:41" x14ac:dyDescent="0.35">
      <c r="A29" t="s">
        <v>101</v>
      </c>
      <c r="B29" t="s">
        <v>118</v>
      </c>
      <c r="C29" s="26"/>
      <c r="D29" s="26"/>
      <c r="E29" s="26"/>
      <c r="F29" s="26"/>
      <c r="G29" s="26"/>
      <c r="H29" s="26"/>
      <c r="I29" s="26"/>
      <c r="J29" s="26"/>
      <c r="K29" s="26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</row>
    <row r="30" spans="1:41" x14ac:dyDescent="0.35">
      <c r="U30" s="30">
        <f>(U25*U11+U26*U12)/SUM(U11:U12)</f>
        <v>-0.51805339519268512</v>
      </c>
      <c r="Z30" s="30">
        <f>(Z25*Z11+Z26*Z12)/SUM(Z11:Z12)</f>
        <v>-0.50521309478047327</v>
      </c>
    </row>
    <row r="31" spans="1:41" hidden="1" x14ac:dyDescent="0.35">
      <c r="A31" s="1" t="s">
        <v>117</v>
      </c>
    </row>
    <row r="32" spans="1:41" hidden="1" x14ac:dyDescent="0.35">
      <c r="A32" t="s">
        <v>98</v>
      </c>
      <c r="C32" s="25">
        <f>C$12/30</f>
        <v>150159120.38678154</v>
      </c>
      <c r="D32" s="25">
        <f t="shared" ref="D32:AO32" si="2">D$12/30</f>
        <v>149799439.72993097</v>
      </c>
      <c r="E32" s="25">
        <f t="shared" si="2"/>
        <v>149440659.58592999</v>
      </c>
      <c r="F32" s="25">
        <f t="shared" si="2"/>
        <v>149084218.96662456</v>
      </c>
      <c r="G32" s="25">
        <f t="shared" si="2"/>
        <v>148728292.95583481</v>
      </c>
      <c r="H32" s="25">
        <f t="shared" si="2"/>
        <v>148373257.33884785</v>
      </c>
      <c r="I32" s="25">
        <f t="shared" si="2"/>
        <v>148019109.79619929</v>
      </c>
      <c r="J32" s="25">
        <f t="shared" si="2"/>
        <v>147665848.01466605</v>
      </c>
      <c r="K32" s="25">
        <f t="shared" si="2"/>
        <v>147313469.6872488</v>
      </c>
      <c r="L32" s="25">
        <f t="shared" si="2"/>
        <v>146961825.66408634</v>
      </c>
      <c r="M32" s="25">
        <f t="shared" si="2"/>
        <v>146611061.19454429</v>
      </c>
      <c r="N32" s="25">
        <f t="shared" si="2"/>
        <v>146261039.48245677</v>
      </c>
      <c r="O32" s="25">
        <f t="shared" si="2"/>
        <v>145911893.24814913</v>
      </c>
      <c r="P32" s="25">
        <f t="shared" si="2"/>
        <v>145563927.33592257</v>
      </c>
      <c r="Q32" s="25">
        <f t="shared" si="2"/>
        <v>145216831.18001148</v>
      </c>
      <c r="R32" s="25">
        <f t="shared" si="2"/>
        <v>144870530.84522906</v>
      </c>
      <c r="S32" s="25">
        <f t="shared" si="2"/>
        <v>144525096.16961327</v>
      </c>
      <c r="T32" s="25">
        <f t="shared" si="2"/>
        <v>144178866.40098268</v>
      </c>
      <c r="U32" s="25">
        <f t="shared" si="2"/>
        <v>143833479.61071888</v>
      </c>
      <c r="V32" s="25">
        <f t="shared" si="2"/>
        <v>143489461.51052418</v>
      </c>
      <c r="W32" s="25">
        <f t="shared" si="2"/>
        <v>143146305.19267046</v>
      </c>
      <c r="X32" s="25">
        <f t="shared" si="2"/>
        <v>142804715.40755919</v>
      </c>
      <c r="Y32" s="25">
        <f t="shared" si="2"/>
        <v>142464111.99589857</v>
      </c>
      <c r="Z32" s="25">
        <f t="shared" si="2"/>
        <v>142124228.92733249</v>
      </c>
      <c r="AA32" s="25">
        <f t="shared" si="2"/>
        <v>141785196.00466165</v>
      </c>
      <c r="AB32" s="25">
        <f t="shared" si="2"/>
        <v>141447011.01212737</v>
      </c>
      <c r="AC32" s="25">
        <f t="shared" si="2"/>
        <v>141109671.73994008</v>
      </c>
      <c r="AD32" s="25">
        <f t="shared" si="2"/>
        <v>140773175.98426235</v>
      </c>
      <c r="AE32" s="25">
        <f t="shared" si="2"/>
        <v>140437521.54719296</v>
      </c>
      <c r="AF32" s="25">
        <f t="shared" si="2"/>
        <v>140102411.07962793</v>
      </c>
      <c r="AG32" s="25">
        <f t="shared" si="2"/>
        <v>139768138.8976877</v>
      </c>
      <c r="AH32" s="25">
        <f t="shared" si="2"/>
        <v>139434702.81635043</v>
      </c>
      <c r="AI32" s="25">
        <f t="shared" si="2"/>
        <v>139102100.65648142</v>
      </c>
      <c r="AJ32" s="25">
        <f t="shared" si="2"/>
        <v>138770330.24481621</v>
      </c>
      <c r="AK32" s="25">
        <f t="shared" si="2"/>
        <v>138439094.02904436</v>
      </c>
      <c r="AL32" s="25">
        <f t="shared" si="2"/>
        <v>138108686.35526484</v>
      </c>
      <c r="AM32" s="25">
        <f t="shared" si="2"/>
        <v>137779105.06452665</v>
      </c>
      <c r="AN32" s="25">
        <f t="shared" si="2"/>
        <v>137450348.00369272</v>
      </c>
      <c r="AO32" s="25">
        <f t="shared" si="2"/>
        <v>137122413.025424</v>
      </c>
    </row>
    <row r="33" spans="1:41" hidden="1" x14ac:dyDescent="0.35">
      <c r="A33" t="s">
        <v>99</v>
      </c>
      <c r="C33" s="25">
        <f>C$13/18</f>
        <v>171929961.27158955</v>
      </c>
      <c r="D33" s="25">
        <f t="shared" ref="D33:AO33" si="3">D$13/18</f>
        <v>171887266.02530292</v>
      </c>
      <c r="E33" s="25">
        <f t="shared" si="3"/>
        <v>171844581.8465783</v>
      </c>
      <c r="F33" s="25">
        <f t="shared" si="3"/>
        <v>171802104.19523346</v>
      </c>
      <c r="G33" s="25">
        <f t="shared" si="3"/>
        <v>171759603.06304681</v>
      </c>
      <c r="H33" s="25">
        <f t="shared" si="3"/>
        <v>171717112.93019107</v>
      </c>
      <c r="I33" s="25">
        <f t="shared" si="3"/>
        <v>171674633.7936939</v>
      </c>
      <c r="J33" s="25">
        <f t="shared" si="3"/>
        <v>171632165.6505844</v>
      </c>
      <c r="K33" s="25">
        <f t="shared" si="3"/>
        <v>171188081.27889502</v>
      </c>
      <c r="L33" s="25">
        <f t="shared" si="3"/>
        <v>170744907.06948408</v>
      </c>
      <c r="M33" s="25">
        <f t="shared" si="3"/>
        <v>170302937.93055594</v>
      </c>
      <c r="N33" s="25">
        <f t="shared" si="3"/>
        <v>169862084.53677744</v>
      </c>
      <c r="O33" s="25">
        <f t="shared" si="3"/>
        <v>169422429.72021124</v>
      </c>
      <c r="P33" s="25">
        <f t="shared" si="3"/>
        <v>168984835.06959191</v>
      </c>
      <c r="Q33" s="25">
        <f t="shared" si="3"/>
        <v>168548428.44519648</v>
      </c>
      <c r="R33" s="25">
        <f t="shared" si="3"/>
        <v>168113128.16234818</v>
      </c>
      <c r="S33" s="25">
        <f t="shared" si="3"/>
        <v>167679009.68217742</v>
      </c>
      <c r="T33" s="25">
        <f t="shared" si="3"/>
        <v>167242650.99773678</v>
      </c>
      <c r="U33" s="25">
        <f t="shared" si="3"/>
        <v>166807440.62537983</v>
      </c>
      <c r="V33" s="25">
        <f t="shared" si="3"/>
        <v>166374158.94340187</v>
      </c>
      <c r="W33" s="25">
        <f t="shared" si="3"/>
        <v>165942058.36619017</v>
      </c>
      <c r="X33" s="25">
        <f t="shared" si="3"/>
        <v>165513155.51357076</v>
      </c>
      <c r="Y33" s="25">
        <f t="shared" si="3"/>
        <v>165085502.22495711</v>
      </c>
      <c r="Z33" s="25">
        <f t="shared" si="3"/>
        <v>164658927.16467637</v>
      </c>
      <c r="AA33" s="25">
        <f t="shared" si="3"/>
        <v>164233511.11551309</v>
      </c>
      <c r="AB33" s="25">
        <f t="shared" si="3"/>
        <v>163809250.77445802</v>
      </c>
      <c r="AC33" s="25">
        <f t="shared" si="3"/>
        <v>163386142.84831187</v>
      </c>
      <c r="AD33" s="25">
        <f t="shared" si="3"/>
        <v>162964184.05365631</v>
      </c>
      <c r="AE33" s="25">
        <f t="shared" si="3"/>
        <v>162543371.11682302</v>
      </c>
      <c r="AF33" s="25">
        <f t="shared" si="3"/>
        <v>162123426.06673041</v>
      </c>
      <c r="AG33" s="25">
        <f t="shared" si="3"/>
        <v>161704621.7443403</v>
      </c>
      <c r="AH33" s="25">
        <f t="shared" si="3"/>
        <v>161286954.89953569</v>
      </c>
      <c r="AI33" s="25">
        <f t="shared" si="3"/>
        <v>160870422.29185164</v>
      </c>
      <c r="AJ33" s="25">
        <f t="shared" si="3"/>
        <v>160455020.6904453</v>
      </c>
      <c r="AK33" s="25">
        <f t="shared" si="3"/>
        <v>160039919.32198834</v>
      </c>
      <c r="AL33" s="25">
        <f t="shared" si="3"/>
        <v>159625946.09867883</v>
      </c>
      <c r="AM33" s="25">
        <f t="shared" si="3"/>
        <v>159213097.80679911</v>
      </c>
      <c r="AN33" s="25">
        <f t="shared" si="3"/>
        <v>158801371.2421695</v>
      </c>
      <c r="AO33" s="25">
        <f t="shared" si="3"/>
        <v>158390763.21011871</v>
      </c>
    </row>
    <row r="34" spans="1:41" hidden="1" x14ac:dyDescent="0.35">
      <c r="A34" t="s">
        <v>100</v>
      </c>
      <c r="C34" s="25">
        <f>C$14/12</f>
        <v>0</v>
      </c>
      <c r="D34" s="25">
        <f t="shared" ref="D34:AO34" si="4">D$14/12</f>
        <v>23801757.293132279</v>
      </c>
      <c r="E34" s="25">
        <f t="shared" si="4"/>
        <v>48388174.874664895</v>
      </c>
      <c r="F34" s="25">
        <f t="shared" si="4"/>
        <v>58478537.953547366</v>
      </c>
      <c r="G34" s="25">
        <f t="shared" si="4"/>
        <v>66616248.556226142</v>
      </c>
      <c r="H34" s="25">
        <f t="shared" si="4"/>
        <v>75622285.653329834</v>
      </c>
      <c r="I34" s="25">
        <f t="shared" si="4"/>
        <v>83322936.30674535</v>
      </c>
      <c r="J34" s="25">
        <f t="shared" si="4"/>
        <v>91303124.895806015</v>
      </c>
      <c r="K34" s="25">
        <f t="shared" si="4"/>
        <v>99313341.330216184</v>
      </c>
      <c r="L34" s="25">
        <f t="shared" si="4"/>
        <v>99285641.511719391</v>
      </c>
      <c r="M34" s="25">
        <f t="shared" si="4"/>
        <v>99257949.670448974</v>
      </c>
      <c r="N34" s="25">
        <f t="shared" si="4"/>
        <v>99230259.275360778</v>
      </c>
      <c r="O34" s="25">
        <f t="shared" si="4"/>
        <v>99202576.855450198</v>
      </c>
      <c r="P34" s="25">
        <f t="shared" si="4"/>
        <v>99174934.054702953</v>
      </c>
      <c r="Q34" s="25">
        <f t="shared" si="4"/>
        <v>99147299.211238503</v>
      </c>
      <c r="R34" s="25">
        <f t="shared" si="4"/>
        <v>99119640.035393938</v>
      </c>
      <c r="S34" s="25">
        <f t="shared" si="4"/>
        <v>99091988.83280839</v>
      </c>
      <c r="T34" s="25">
        <f t="shared" si="4"/>
        <v>99064214.876900241</v>
      </c>
      <c r="U34" s="25">
        <f t="shared" si="4"/>
        <v>99036446.304872572</v>
      </c>
      <c r="V34" s="25">
        <f t="shared" si="4"/>
        <v>99008741.965228319</v>
      </c>
      <c r="W34" s="25">
        <f t="shared" si="4"/>
        <v>98981045.62969707</v>
      </c>
      <c r="X34" s="25">
        <f t="shared" si="4"/>
        <v>98953389.671778962</v>
      </c>
      <c r="Y34" s="25">
        <f t="shared" si="4"/>
        <v>98662754.645199314</v>
      </c>
      <c r="Z34" s="25">
        <f t="shared" si="4"/>
        <v>98372936.930343673</v>
      </c>
      <c r="AA34" s="25">
        <f t="shared" si="4"/>
        <v>98084001.374737605</v>
      </c>
      <c r="AB34" s="25">
        <f t="shared" si="4"/>
        <v>97795945.219542578</v>
      </c>
      <c r="AC34" s="25">
        <f t="shared" si="4"/>
        <v>97508765.714718118</v>
      </c>
      <c r="AD34" s="25">
        <f t="shared" si="4"/>
        <v>97222460.118993521</v>
      </c>
      <c r="AE34" s="25">
        <f t="shared" si="4"/>
        <v>96937025.699839398</v>
      </c>
      <c r="AF34" s="25">
        <f t="shared" si="4"/>
        <v>96652344.379101515</v>
      </c>
      <c r="AG34" s="25">
        <f t="shared" si="4"/>
        <v>96368529.475119129</v>
      </c>
      <c r="AH34" s="25">
        <f t="shared" si="4"/>
        <v>96085578.278299585</v>
      </c>
      <c r="AI34" s="25">
        <f t="shared" si="4"/>
        <v>95803488.08769238</v>
      </c>
      <c r="AJ34" s="25">
        <f t="shared" si="4"/>
        <v>95522256.210960567</v>
      </c>
      <c r="AK34" s="25">
        <f t="shared" si="4"/>
        <v>95241560.944665924</v>
      </c>
      <c r="AL34" s="25">
        <f t="shared" si="4"/>
        <v>94961720.010229006</v>
      </c>
      <c r="AM34" s="25">
        <f t="shared" si="4"/>
        <v>94682730.736530557</v>
      </c>
      <c r="AN34" s="25">
        <f t="shared" si="4"/>
        <v>94404590.460967407</v>
      </c>
      <c r="AO34" s="25">
        <f t="shared" si="4"/>
        <v>94127296.529424831</v>
      </c>
    </row>
    <row r="35" spans="1:41" hidden="1" x14ac:dyDescent="0.35">
      <c r="A35" t="s">
        <v>101</v>
      </c>
      <c r="C35" s="25">
        <f>C$15/30</f>
        <v>0</v>
      </c>
      <c r="D35" s="25">
        <f t="shared" ref="D35:AO35" si="5">D$15/30</f>
        <v>0</v>
      </c>
      <c r="E35" s="25">
        <f t="shared" si="5"/>
        <v>0</v>
      </c>
      <c r="F35" s="25">
        <f t="shared" si="5"/>
        <v>0</v>
      </c>
      <c r="G35" s="25">
        <f t="shared" si="5"/>
        <v>0</v>
      </c>
      <c r="H35" s="25">
        <f t="shared" si="5"/>
        <v>0</v>
      </c>
      <c r="I35" s="25">
        <f t="shared" si="5"/>
        <v>0</v>
      </c>
      <c r="J35" s="25">
        <f t="shared" si="5"/>
        <v>0</v>
      </c>
      <c r="K35" s="25">
        <f t="shared" si="5"/>
        <v>0</v>
      </c>
      <c r="L35" s="25">
        <f t="shared" si="5"/>
        <v>3124769.9629255245</v>
      </c>
      <c r="M35" s="25">
        <f t="shared" si="5"/>
        <v>6122380.9273106223</v>
      </c>
      <c r="N35" s="25">
        <f t="shared" si="5"/>
        <v>9036548.1294496041</v>
      </c>
      <c r="O35" s="25">
        <f t="shared" si="5"/>
        <v>11936396.975238472</v>
      </c>
      <c r="P35" s="25">
        <f t="shared" si="5"/>
        <v>14895161.507436713</v>
      </c>
      <c r="Q35" s="25">
        <f t="shared" si="5"/>
        <v>17831883.716858152</v>
      </c>
      <c r="R35" s="25">
        <f t="shared" si="5"/>
        <v>20687007.225243032</v>
      </c>
      <c r="S35" s="25">
        <f t="shared" si="5"/>
        <v>23548593.220323198</v>
      </c>
      <c r="T35" s="25">
        <f t="shared" si="5"/>
        <v>26085394.712145489</v>
      </c>
      <c r="U35" s="25">
        <f t="shared" si="5"/>
        <v>28614526.468430173</v>
      </c>
      <c r="V35" s="25">
        <f t="shared" si="5"/>
        <v>31135078.391459964</v>
      </c>
      <c r="W35" s="25">
        <f t="shared" si="5"/>
        <v>33651841.588811912</v>
      </c>
      <c r="X35" s="25">
        <f t="shared" si="5"/>
        <v>36181033.964593172</v>
      </c>
      <c r="Y35" s="25">
        <f t="shared" si="5"/>
        <v>38817411.827531822</v>
      </c>
      <c r="Z35" s="25">
        <f t="shared" si="5"/>
        <v>41447431.004600964</v>
      </c>
      <c r="AA35" s="25">
        <f t="shared" si="5"/>
        <v>44044653.628144532</v>
      </c>
      <c r="AB35" s="25">
        <f t="shared" si="5"/>
        <v>46640653.964634992</v>
      </c>
      <c r="AC35" s="25">
        <f t="shared" si="5"/>
        <v>49227630.219085619</v>
      </c>
      <c r="AD35" s="25">
        <f t="shared" si="5"/>
        <v>51808906.761224188</v>
      </c>
      <c r="AE35" s="25">
        <f t="shared" si="5"/>
        <v>54387919.683629297</v>
      </c>
      <c r="AF35" s="25">
        <f t="shared" si="5"/>
        <v>56779741.281783126</v>
      </c>
      <c r="AG35" s="25">
        <f t="shared" si="5"/>
        <v>59169264.920817643</v>
      </c>
      <c r="AH35" s="25">
        <f t="shared" si="5"/>
        <v>61549001.648910403</v>
      </c>
      <c r="AI35" s="25">
        <f t="shared" si="5"/>
        <v>63926326.419408806</v>
      </c>
      <c r="AJ35" s="25">
        <f t="shared" si="5"/>
        <v>66293871.468493409</v>
      </c>
      <c r="AK35" s="25">
        <f t="shared" si="5"/>
        <v>68471001.477233112</v>
      </c>
      <c r="AL35" s="25">
        <f t="shared" si="5"/>
        <v>70642403.850746736</v>
      </c>
      <c r="AM35" s="25">
        <f t="shared" si="5"/>
        <v>72808744.373845503</v>
      </c>
      <c r="AN35" s="25">
        <f t="shared" si="5"/>
        <v>74970903.015605494</v>
      </c>
      <c r="AO35" s="25">
        <f t="shared" si="5"/>
        <v>77129666.867700741</v>
      </c>
    </row>
    <row r="36" spans="1:41" hidden="1" x14ac:dyDescent="0.35">
      <c r="A36" t="s">
        <v>102</v>
      </c>
    </row>
    <row r="38" spans="1:41" x14ac:dyDescent="0.35">
      <c r="U38" s="31">
        <f>SUM(U11)/SUM(U11:U14)</f>
        <v>0.30293549821580473</v>
      </c>
      <c r="Z38" s="31">
        <f>SUM(Z11)/SUM(Z11:Z14)</f>
        <v>0.30228767126214501</v>
      </c>
    </row>
    <row r="39" spans="1:41" hidden="1" x14ac:dyDescent="0.35"/>
    <row r="40" spans="1:41" hidden="1" x14ac:dyDescent="0.35">
      <c r="A40" s="15" t="s">
        <v>107</v>
      </c>
      <c r="B40" s="16"/>
    </row>
    <row r="41" spans="1:41" hidden="1" x14ac:dyDescent="0.35">
      <c r="C41" t="s">
        <v>59</v>
      </c>
      <c r="D41" t="s">
        <v>60</v>
      </c>
      <c r="E41" t="s">
        <v>61</v>
      </c>
      <c r="F41" t="s">
        <v>62</v>
      </c>
      <c r="G41" t="s">
        <v>63</v>
      </c>
      <c r="H41" t="s">
        <v>64</v>
      </c>
      <c r="I41" t="s">
        <v>65</v>
      </c>
      <c r="J41" t="s">
        <v>66</v>
      </c>
      <c r="K41" t="s">
        <v>67</v>
      </c>
      <c r="L41" t="s">
        <v>68</v>
      </c>
      <c r="M41" t="s">
        <v>69</v>
      </c>
      <c r="N41" t="s">
        <v>70</v>
      </c>
      <c r="O41" t="s">
        <v>71</v>
      </c>
      <c r="P41" t="s">
        <v>72</v>
      </c>
      <c r="Q41" t="s">
        <v>73</v>
      </c>
      <c r="R41" t="s">
        <v>74</v>
      </c>
      <c r="S41" t="s">
        <v>75</v>
      </c>
      <c r="T41" t="s">
        <v>76</v>
      </c>
      <c r="U41" s="1" t="s">
        <v>77</v>
      </c>
      <c r="V41" t="s">
        <v>78</v>
      </c>
      <c r="W41" t="s">
        <v>79</v>
      </c>
      <c r="X41" t="s">
        <v>80</v>
      </c>
      <c r="Y41" t="s">
        <v>81</v>
      </c>
      <c r="Z41" s="1" t="s">
        <v>82</v>
      </c>
      <c r="AA41" t="s">
        <v>83</v>
      </c>
      <c r="AB41" t="s">
        <v>84</v>
      </c>
      <c r="AC41" t="s">
        <v>85</v>
      </c>
      <c r="AD41" t="s">
        <v>86</v>
      </c>
      <c r="AE41" t="s">
        <v>87</v>
      </c>
      <c r="AF41" t="s">
        <v>88</v>
      </c>
      <c r="AG41" t="s">
        <v>89</v>
      </c>
      <c r="AH41" t="s">
        <v>90</v>
      </c>
      <c r="AI41" t="s">
        <v>91</v>
      </c>
      <c r="AJ41" t="s">
        <v>92</v>
      </c>
      <c r="AK41" t="s">
        <v>93</v>
      </c>
      <c r="AL41" t="s">
        <v>94</v>
      </c>
      <c r="AM41" t="s">
        <v>95</v>
      </c>
      <c r="AN41" t="s">
        <v>96</v>
      </c>
      <c r="AO41" t="s">
        <v>97</v>
      </c>
    </row>
    <row r="42" spans="1:41" hidden="1" x14ac:dyDescent="0.35">
      <c r="A42" t="s">
        <v>98</v>
      </c>
      <c r="C42">
        <f>C$12/30</f>
        <v>150159120.38678154</v>
      </c>
      <c r="U42" s="17">
        <f>U21*U12/10^9</f>
        <v>176.58043030436096</v>
      </c>
      <c r="Z42" s="17">
        <f>Z21*Z12/10^9</f>
        <v>172.9004607926646</v>
      </c>
    </row>
    <row r="43" spans="1:41" hidden="1" x14ac:dyDescent="0.35">
      <c r="A43" t="s">
        <v>99</v>
      </c>
      <c r="U43" s="17">
        <f>U5</f>
        <v>348.47617481414409</v>
      </c>
      <c r="Z43" s="17">
        <f>Z5</f>
        <v>334.91079449481015</v>
      </c>
    </row>
    <row r="44" spans="1:41" hidden="1" x14ac:dyDescent="0.35">
      <c r="A44" t="s">
        <v>100</v>
      </c>
      <c r="U44" s="17">
        <f>U6</f>
        <v>48.633734931977244</v>
      </c>
      <c r="Z44" s="17">
        <f>Z6</f>
        <v>47.87002540849145</v>
      </c>
    </row>
    <row r="45" spans="1:41" hidden="1" x14ac:dyDescent="0.35">
      <c r="A45" t="s">
        <v>101</v>
      </c>
      <c r="U45" s="17">
        <f>U7</f>
        <v>16.99142026116569</v>
      </c>
      <c r="Z45" s="17">
        <f>Z7</f>
        <v>23.618027536926213</v>
      </c>
    </row>
    <row r="46" spans="1:41" hidden="1" x14ac:dyDescent="0.35">
      <c r="A46" t="s">
        <v>102</v>
      </c>
      <c r="U46" s="17">
        <f>U21*U11/10^9</f>
        <v>151.27343410059154</v>
      </c>
      <c r="Z46" s="17">
        <f>Z21*Z11/10^9</f>
        <v>147.7225374788097</v>
      </c>
    </row>
    <row r="47" spans="1:41" hidden="1" x14ac:dyDescent="0.35">
      <c r="U47" s="17">
        <f>SUM(U42:U46)</f>
        <v>741.95519441223951</v>
      </c>
      <c r="Z47" s="17">
        <f>SUM(Z42:Z46)</f>
        <v>727.0218457117021</v>
      </c>
    </row>
    <row r="48" spans="1:41" hidden="1" x14ac:dyDescent="0.35">
      <c r="A48" t="s">
        <v>108</v>
      </c>
    </row>
    <row r="49" spans="1:27" hidden="1" x14ac:dyDescent="0.35">
      <c r="T49" s="16" t="s">
        <v>109</v>
      </c>
      <c r="U49" s="18">
        <f>U8-U47</f>
        <v>999.85841846938388</v>
      </c>
      <c r="V49" t="s">
        <v>38</v>
      </c>
      <c r="Y49" s="16" t="s">
        <v>109</v>
      </c>
      <c r="Z49" s="18">
        <f>Z8-Z47</f>
        <v>925.61873764039342</v>
      </c>
      <c r="AA49" t="s">
        <v>38</v>
      </c>
    </row>
    <row r="50" spans="1:27" hidden="1" x14ac:dyDescent="0.35">
      <c r="T50" s="16" t="s">
        <v>110</v>
      </c>
      <c r="U50" s="19">
        <f>U49/U8</f>
        <v>0.5740329568415975</v>
      </c>
      <c r="Y50" s="16" t="s">
        <v>110</v>
      </c>
      <c r="Z50" s="19">
        <f>Z49/Z8</f>
        <v>0.5600847195479951</v>
      </c>
    </row>
    <row r="51" spans="1:27" hidden="1" x14ac:dyDescent="0.35"/>
    <row r="52" spans="1:27" hidden="1" x14ac:dyDescent="0.35"/>
    <row r="53" spans="1:27" hidden="1" x14ac:dyDescent="0.35"/>
    <row r="54" spans="1:27" x14ac:dyDescent="0.35">
      <c r="A54" s="20" t="s">
        <v>111</v>
      </c>
      <c r="B54" s="21"/>
    </row>
    <row r="55" spans="1:27" x14ac:dyDescent="0.35">
      <c r="C55" t="s">
        <v>59</v>
      </c>
      <c r="D55" t="s">
        <v>60</v>
      </c>
      <c r="E55" t="s">
        <v>61</v>
      </c>
      <c r="F55" t="s">
        <v>62</v>
      </c>
      <c r="G55" t="s">
        <v>63</v>
      </c>
      <c r="H55" t="s">
        <v>64</v>
      </c>
      <c r="I55" t="s">
        <v>65</v>
      </c>
      <c r="J55" t="s">
        <v>66</v>
      </c>
      <c r="K55" t="s">
        <v>67</v>
      </c>
      <c r="L55" t="s">
        <v>68</v>
      </c>
      <c r="M55" t="s">
        <v>69</v>
      </c>
      <c r="N55" t="s">
        <v>70</v>
      </c>
      <c r="O55" t="s">
        <v>71</v>
      </c>
      <c r="P55" t="s">
        <v>72</v>
      </c>
      <c r="Q55" t="s">
        <v>73</v>
      </c>
      <c r="R55" t="s">
        <v>74</v>
      </c>
      <c r="S55" t="s">
        <v>75</v>
      </c>
      <c r="T55" t="s">
        <v>76</v>
      </c>
      <c r="U55" s="1" t="s">
        <v>77</v>
      </c>
      <c r="V55" t="s">
        <v>78</v>
      </c>
      <c r="W55" t="s">
        <v>79</v>
      </c>
      <c r="X55" t="s">
        <v>80</v>
      </c>
      <c r="Y55" t="s">
        <v>81</v>
      </c>
      <c r="Z55" s="1" t="s">
        <v>82</v>
      </c>
    </row>
    <row r="56" spans="1:27" x14ac:dyDescent="0.35">
      <c r="A56" t="s">
        <v>98</v>
      </c>
      <c r="C56">
        <f>C$12/30</f>
        <v>150159120.38678154</v>
      </c>
      <c r="U56" s="17">
        <f>U20*U12/10^9</f>
        <v>500.80240822428215</v>
      </c>
      <c r="Z56" s="17">
        <f>Z20*Z12/10^9</f>
        <v>481.79327662985054</v>
      </c>
    </row>
    <row r="57" spans="1:27" x14ac:dyDescent="0.35">
      <c r="A57" t="s">
        <v>99</v>
      </c>
      <c r="U57" s="17">
        <f>U5</f>
        <v>348.47617481414409</v>
      </c>
      <c r="Z57" s="17">
        <f>Z5</f>
        <v>334.91079449481015</v>
      </c>
    </row>
    <row r="58" spans="1:27" x14ac:dyDescent="0.35">
      <c r="A58" t="s">
        <v>100</v>
      </c>
      <c r="U58" s="17">
        <f>U6</f>
        <v>48.633734931977244</v>
      </c>
      <c r="Z58" s="17">
        <f>Z6</f>
        <v>47.87002540849145</v>
      </c>
    </row>
    <row r="59" spans="1:27" x14ac:dyDescent="0.35">
      <c r="A59" t="s">
        <v>101</v>
      </c>
      <c r="U59" s="17">
        <f>U7</f>
        <v>16.99142026116569</v>
      </c>
      <c r="Z59" s="17">
        <f>Z7</f>
        <v>23.618027536926213</v>
      </c>
    </row>
    <row r="60" spans="1:27" x14ac:dyDescent="0.35">
      <c r="A60" t="s">
        <v>102</v>
      </c>
      <c r="U60" s="17">
        <f>U20*U11/10^9</f>
        <v>429.02885652364682</v>
      </c>
      <c r="Z60" s="17">
        <f>Z20*Z11/10^9</f>
        <v>411.63409882023359</v>
      </c>
    </row>
    <row r="61" spans="1:27" x14ac:dyDescent="0.35">
      <c r="U61" s="17">
        <f>SUM(U56:U60)</f>
        <v>1343.9325947552159</v>
      </c>
      <c r="Z61" s="17">
        <f>SUM(Z56:Z60)</f>
        <v>1299.8262228903118</v>
      </c>
    </row>
    <row r="62" spans="1:27" x14ac:dyDescent="0.35">
      <c r="A62" t="s">
        <v>112</v>
      </c>
    </row>
    <row r="63" spans="1:27" x14ac:dyDescent="0.35">
      <c r="T63" s="21" t="s">
        <v>109</v>
      </c>
      <c r="U63" s="22">
        <f>U8-U61</f>
        <v>397.88101812640753</v>
      </c>
      <c r="V63" t="s">
        <v>38</v>
      </c>
      <c r="Y63" s="21" t="s">
        <v>109</v>
      </c>
      <c r="Z63" s="22">
        <f>Z8-Z61</f>
        <v>352.81436046178374</v>
      </c>
      <c r="AA63" t="s">
        <v>38</v>
      </c>
    </row>
    <row r="64" spans="1:27" x14ac:dyDescent="0.35">
      <c r="T64" s="21" t="s">
        <v>110</v>
      </c>
      <c r="U64" s="23">
        <f>U63/U8</f>
        <v>0.22842915865616684</v>
      </c>
      <c r="Y64" s="21" t="s">
        <v>110</v>
      </c>
      <c r="Z64" s="23">
        <f>Z63/Z8</f>
        <v>0.21348523327810384</v>
      </c>
    </row>
    <row r="66" spans="21:26" x14ac:dyDescent="0.35">
      <c r="U66" s="34">
        <f>SUM(U4:U7)+(U3*(1+U25))</f>
        <v>1309.9773809344986</v>
      </c>
      <c r="Z66" s="34">
        <f>SUM(Z4:Z7)+(Z3*(1+Z25))</f>
        <v>1257.3882781611842</v>
      </c>
    </row>
    <row r="67" spans="21:26" x14ac:dyDescent="0.35">
      <c r="U67" s="27">
        <f>(U8-U66)/U8</f>
        <v>0.24792333046054402</v>
      </c>
      <c r="Z67" s="27">
        <f>(Z8-Z66)/Z8</f>
        <v>0.23916410450795683</v>
      </c>
    </row>
    <row r="69" spans="21:26" x14ac:dyDescent="0.35">
      <c r="U69" s="27"/>
      <c r="Z69" s="27"/>
    </row>
    <row r="70" spans="21:26" x14ac:dyDescent="0.35">
      <c r="U70" s="27"/>
      <c r="Z70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3">
    <tabColor theme="3"/>
  </sheetPr>
  <dimension ref="A1:D7"/>
  <sheetViews>
    <sheetView tabSelected="1" workbookViewId="0">
      <selection activeCell="D12" sqref="D12"/>
    </sheetView>
  </sheetViews>
  <sheetFormatPr defaultColWidth="8.90625" defaultRowHeight="14.5" x14ac:dyDescent="0.35"/>
  <cols>
    <col min="1" max="1" width="23.54296875" customWidth="1"/>
    <col min="2" max="2" width="21.36328125" customWidth="1"/>
    <col min="3" max="3" width="20.6328125" customWidth="1"/>
    <col min="4" max="4" width="20.36328125" customWidth="1"/>
  </cols>
  <sheetData>
    <row r="1" spans="1:4" ht="29" x14ac:dyDescent="0.35">
      <c r="A1" s="6" t="s">
        <v>3</v>
      </c>
      <c r="B1" s="5" t="s">
        <v>4</v>
      </c>
      <c r="C1" s="5" t="s">
        <v>5</v>
      </c>
      <c r="D1" s="5" t="s">
        <v>6</v>
      </c>
    </row>
    <row r="2" spans="1:4" x14ac:dyDescent="0.35">
      <c r="A2" t="s">
        <v>7</v>
      </c>
      <c r="B2" s="7">
        <f>savings_residential!U25*-1</f>
        <v>0.74057464160058584</v>
      </c>
      <c r="C2" s="7">
        <f t="shared" ref="C2:C7" si="0">$B2</f>
        <v>0.74057464160058584</v>
      </c>
      <c r="D2" s="7">
        <f>savings_commercial!U26*-1</f>
        <v>0.5054597997188619</v>
      </c>
    </row>
    <row r="3" spans="1:4" x14ac:dyDescent="0.35">
      <c r="A3" t="s">
        <v>8</v>
      </c>
      <c r="B3" s="7">
        <f>B2</f>
        <v>0.74057464160058584</v>
      </c>
      <c r="C3" s="7">
        <f t="shared" si="0"/>
        <v>0.74057464160058584</v>
      </c>
      <c r="D3" s="7">
        <f>D2</f>
        <v>0.5054597997188619</v>
      </c>
    </row>
    <row r="4" spans="1:4" x14ac:dyDescent="0.35">
      <c r="A4" t="s">
        <v>9</v>
      </c>
      <c r="B4">
        <v>0</v>
      </c>
      <c r="C4">
        <f t="shared" si="0"/>
        <v>0</v>
      </c>
      <c r="D4">
        <v>0</v>
      </c>
    </row>
    <row r="5" spans="1:4" x14ac:dyDescent="0.35">
      <c r="A5" t="s">
        <v>10</v>
      </c>
      <c r="B5">
        <v>0</v>
      </c>
      <c r="C5">
        <f t="shared" si="0"/>
        <v>0</v>
      </c>
      <c r="D5">
        <v>0</v>
      </c>
    </row>
    <row r="6" spans="1:4" x14ac:dyDescent="0.35">
      <c r="A6" t="s">
        <v>11</v>
      </c>
      <c r="B6">
        <v>0</v>
      </c>
      <c r="C6">
        <f t="shared" si="0"/>
        <v>0</v>
      </c>
      <c r="D6">
        <v>0</v>
      </c>
    </row>
    <row r="7" spans="1:4" x14ac:dyDescent="0.35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>
    <tabColor theme="3"/>
  </sheetPr>
  <dimension ref="A1:D7"/>
  <sheetViews>
    <sheetView workbookViewId="0">
      <selection activeCell="B2" sqref="B2"/>
    </sheetView>
  </sheetViews>
  <sheetFormatPr defaultColWidth="8.90625" defaultRowHeight="14.5" x14ac:dyDescent="0.35"/>
  <cols>
    <col min="1" max="1" width="23.54296875" customWidth="1"/>
    <col min="2" max="2" width="21.36328125" customWidth="1"/>
    <col min="3" max="3" width="20.6328125" customWidth="1"/>
    <col min="4" max="4" width="20.36328125" customWidth="1"/>
  </cols>
  <sheetData>
    <row r="1" spans="1:4" x14ac:dyDescent="0.35">
      <c r="A1" s="6" t="s">
        <v>13</v>
      </c>
      <c r="B1" s="5" t="s">
        <v>4</v>
      </c>
      <c r="C1" s="5" t="s">
        <v>5</v>
      </c>
      <c r="D1" s="5" t="s">
        <v>6</v>
      </c>
    </row>
    <row r="2" spans="1:4" x14ac:dyDescent="0.35">
      <c r="A2" t="s">
        <v>7</v>
      </c>
      <c r="B2" s="8">
        <f>calc!H24*About!$B$18</f>
        <v>3.2913847687503591E-4</v>
      </c>
      <c r="C2" s="8">
        <f t="shared" ref="C2:C7" si="0">$B2</f>
        <v>3.2913847687503591E-4</v>
      </c>
      <c r="D2" s="8">
        <f>calc!H25*About!$B$18</f>
        <v>3.2193446499581796E-4</v>
      </c>
    </row>
    <row r="3" spans="1:4" x14ac:dyDescent="0.35">
      <c r="A3" t="s">
        <v>8</v>
      </c>
      <c r="B3" s="8">
        <f>B2</f>
        <v>3.2913847687503591E-4</v>
      </c>
      <c r="C3" s="8">
        <f>C2</f>
        <v>3.2913847687503591E-4</v>
      </c>
      <c r="D3" s="8">
        <f>D2</f>
        <v>3.2193446499581796E-4</v>
      </c>
    </row>
    <row r="4" spans="1:4" x14ac:dyDescent="0.35">
      <c r="A4" t="s">
        <v>9</v>
      </c>
      <c r="B4">
        <v>0</v>
      </c>
      <c r="C4">
        <f t="shared" si="0"/>
        <v>0</v>
      </c>
      <c r="D4">
        <f>C4</f>
        <v>0</v>
      </c>
    </row>
    <row r="5" spans="1:4" x14ac:dyDescent="0.35">
      <c r="A5" t="s">
        <v>10</v>
      </c>
      <c r="B5">
        <v>0</v>
      </c>
      <c r="C5">
        <f t="shared" si="0"/>
        <v>0</v>
      </c>
      <c r="D5">
        <v>0</v>
      </c>
    </row>
    <row r="6" spans="1:4" x14ac:dyDescent="0.35">
      <c r="A6" t="s">
        <v>11</v>
      </c>
      <c r="B6">
        <v>0</v>
      </c>
      <c r="C6">
        <f t="shared" si="0"/>
        <v>0</v>
      </c>
      <c r="D6">
        <v>0</v>
      </c>
    </row>
    <row r="7" spans="1:4" x14ac:dyDescent="0.35">
      <c r="A7" t="s">
        <v>12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BCF5D9-3972-43CF-88C7-BA42C2BD5A6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923BB36F-34B4-48B9-A841-D5CFBCACF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F26DFC-E322-4B03-BD33-D84AE438B0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</vt:lpstr>
      <vt:lpstr>savings_commercial</vt:lpstr>
      <vt:lpstr>savings_residential</vt:lpstr>
      <vt:lpstr>BRESaC-energy</vt:lpstr>
      <vt:lpstr>BRESaC-cost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Mary Francis Swint</cp:lastModifiedBy>
  <cp:revision/>
  <dcterms:created xsi:type="dcterms:W3CDTF">2019-05-24T18:41:25Z</dcterms:created>
  <dcterms:modified xsi:type="dcterms:W3CDTF">2024-05-17T14:20:04Z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