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penergy394-my.sharepoint.com/personal/onedrive_tep-energy_ch/Documents/TEP/_projects/1509_Agora_EPS/working/EPS Modelling_TEP_result/bldgs/SoBRCbG/"/>
    </mc:Choice>
  </mc:AlternateContent>
  <xr:revisionPtr revIDLastSave="17" documentId="13_ncr:1_{07110ADA-BCAB-43BF-9178-CDB9DA35EA3A}" xr6:coauthVersionLast="47" xr6:coauthVersionMax="47" xr10:uidLastSave="{9901C2F0-5A49-46D0-AAC4-54E79E288BCD}"/>
  <bookViews>
    <workbookView xWindow="28680" yWindow="-120" windowWidth="29040" windowHeight="15840" activeTab="4" xr2:uid="{B7370FBA-4486-4F99-AF7A-4FA274821588}"/>
  </bookViews>
  <sheets>
    <sheet name="About" sheetId="1" r:id="rId1"/>
    <sheet name="Spending Data" sheetId="3" r:id="rId2"/>
    <sheet name="Public Financing" sheetId="4" r:id="rId3"/>
    <sheet name="Crosswalk" sheetId="5" r:id="rId4"/>
    <sheet name="SoBRCBbG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C9" i="3"/>
  <c r="C7" i="3"/>
  <c r="C5" i="3"/>
  <c r="C4" i="3"/>
  <c r="C3" i="3"/>
  <c r="G55" i="3"/>
  <c r="G54" i="3"/>
  <c r="G50" i="3"/>
  <c r="G49" i="3"/>
  <c r="B7" i="3"/>
  <c r="B4" i="4"/>
  <c r="D18" i="4"/>
  <c r="C22" i="4"/>
  <c r="D10" i="4"/>
  <c r="B3" i="3"/>
  <c r="F49" i="3"/>
  <c r="C23" i="4"/>
  <c r="D19" i="4"/>
  <c r="D11" i="4"/>
  <c r="D12" i="4"/>
  <c r="D13" i="4"/>
  <c r="D14" i="4"/>
  <c r="D15" i="4"/>
  <c r="D16" i="4"/>
  <c r="D17" i="4"/>
  <c r="C19" i="4"/>
  <c r="C18" i="4"/>
  <c r="C17" i="4"/>
  <c r="C16" i="4"/>
  <c r="C15" i="4"/>
  <c r="C14" i="4"/>
  <c r="C13" i="4"/>
  <c r="C12" i="4"/>
  <c r="C10" i="4"/>
  <c r="C11" i="4"/>
  <c r="F9" i="4"/>
  <c r="B7" i="4"/>
  <c r="B6" i="4"/>
  <c r="B5" i="4"/>
  <c r="B2" i="4"/>
  <c r="F55" i="3"/>
  <c r="F54" i="3"/>
  <c r="B4" i="3" s="1"/>
  <c r="F50" i="3"/>
  <c r="B5" i="3" l="1"/>
  <c r="B9" i="3" s="1"/>
</calcChain>
</file>

<file path=xl/sharedStrings.xml><?xml version="1.0" encoding="utf-8"?>
<sst xmlns="http://schemas.openxmlformats.org/spreadsheetml/2006/main" count="121" uniqueCount="78">
  <si>
    <t>SoBRCBbG Share of Building Retrofit Costs Borne by Government</t>
  </si>
  <si>
    <t>Source:</t>
  </si>
  <si>
    <t>European Commission</t>
  </si>
  <si>
    <t>Accelerating energy renovation investments in buildings</t>
  </si>
  <si>
    <t>https://publications.jrc.ec.europa.eu/repository/bitstream/JRC117816/accelerating_energy_renovation_investments_in_buildings.pdf</t>
  </si>
  <si>
    <t>(Accessed from: https://ec.europa.eu/energy/topics/energy-efficiency/energy-efficient-buildings/financing-renovations_en)</t>
  </si>
  <si>
    <t>p. 160</t>
  </si>
  <si>
    <t>Public Financing</t>
  </si>
  <si>
    <t>Comprehensive study of building energy renovation activities and the uptake of nearly zero-energy buildings in the EU</t>
  </si>
  <si>
    <t>https://ec.europa.eu/energy/sites/ener/files/documents/1.final_report.pdf</t>
  </si>
  <si>
    <t>Table 10 (p. 29) and Table 12 (p. 32)</t>
  </si>
  <si>
    <t>Spending Data</t>
  </si>
  <si>
    <t>Notes</t>
  </si>
  <si>
    <t>This variable specifies the share of the cost for retrofitting existing buildings</t>
  </si>
  <si>
    <t>under the EPS's accelerated building retrofitting policy that will be borne</t>
  </si>
  <si>
    <t>by the government.</t>
  </si>
  <si>
    <t>EU spending on energy renovations (euro/year)</t>
  </si>
  <si>
    <t>units = million Euros (MM)</t>
  </si>
  <si>
    <t>Residential buildings</t>
  </si>
  <si>
    <t>Non-residential buildings</t>
  </si>
  <si>
    <t>Total</t>
  </si>
  <si>
    <t>Public financing</t>
  </si>
  <si>
    <t>Share of cost covered by public financing</t>
  </si>
  <si>
    <t>Residential</t>
  </si>
  <si>
    <t>Energy related: "Total"</t>
  </si>
  <si>
    <t>EU28</t>
  </si>
  <si>
    <t>UK</t>
  </si>
  <si>
    <t>Non-Residential</t>
  </si>
  <si>
    <t>Public resources spent on average for energy renovations in buildings across the EU every year: EUR 10 billion</t>
  </si>
  <si>
    <t>Percentage of EUR 10 billion spent in the following countries:</t>
  </si>
  <si>
    <t>Western and Nordic countries</t>
  </si>
  <si>
    <t>Southern European countries (Italy, Spain, Portugal, Greece, Cyprus)</t>
  </si>
  <si>
    <t>Central Eastern countries</t>
  </si>
  <si>
    <t>Population in 2020; source: Google</t>
  </si>
  <si>
    <t>Percentage</t>
  </si>
  <si>
    <t>Belgium</t>
  </si>
  <si>
    <t>Denmark</t>
  </si>
  <si>
    <t>Finland</t>
  </si>
  <si>
    <t>France</t>
  </si>
  <si>
    <t>Ireland</t>
  </si>
  <si>
    <t>Luxembourg</t>
  </si>
  <si>
    <t>Netherlands</t>
  </si>
  <si>
    <t>Sweden</t>
  </si>
  <si>
    <t>United Kingdom</t>
  </si>
  <si>
    <t>Use 2020 population data to translate EU public resource spending data from EU28 to EU27:</t>
  </si>
  <si>
    <t>UK public resource spending</t>
  </si>
  <si>
    <t>EU27 public resource spending</t>
  </si>
  <si>
    <t>Countries Crosswalk</t>
  </si>
  <si>
    <t>Country</t>
  </si>
  <si>
    <t>Categorization</t>
  </si>
  <si>
    <t>Austria</t>
  </si>
  <si>
    <t>Central Eastern</t>
  </si>
  <si>
    <t>Western and Nordic</t>
  </si>
  <si>
    <t>Bulgaria</t>
  </si>
  <si>
    <t>Croatia</t>
  </si>
  <si>
    <t>Cyprus</t>
  </si>
  <si>
    <t>Southern European</t>
  </si>
  <si>
    <t>Czech Republic</t>
  </si>
  <si>
    <t>Estonia</t>
  </si>
  <si>
    <t>Germany</t>
  </si>
  <si>
    <t>Greece</t>
  </si>
  <si>
    <t>Hungary</t>
  </si>
  <si>
    <t>Italy</t>
  </si>
  <si>
    <t>Latvia</t>
  </si>
  <si>
    <t>Lithuania</t>
  </si>
  <si>
    <t>Malta</t>
  </si>
  <si>
    <t>Poland</t>
  </si>
  <si>
    <t>Portugal</t>
  </si>
  <si>
    <t>Romania</t>
  </si>
  <si>
    <t>Slovakia</t>
  </si>
  <si>
    <t>Slovenia</t>
  </si>
  <si>
    <t>Spain</t>
  </si>
  <si>
    <t>Unit: dimensionless (share of cost)</t>
  </si>
  <si>
    <t>Government Cost Share</t>
  </si>
  <si>
    <t>urban residential</t>
  </si>
  <si>
    <t>rural residential</t>
  </si>
  <si>
    <t>commercial</t>
  </si>
  <si>
    <t>Energy related: "ABOVE threshold"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</si>
</sst>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1" fontId="0" fillId="0" borderId="0" xfId="0" applyNumberFormat="1"/>
    <xf numFmtId="0" fontId="1" fillId="0" borderId="1" xfId="0" applyFont="1" applyBorder="1"/>
    <xf numFmtId="11" fontId="1" fillId="0" borderId="1" xfId="0" applyNumberFormat="1" applyFont="1" applyBorder="1"/>
    <xf numFmtId="10" fontId="0" fillId="0" borderId="0" xfId="2" applyNumberFormat="1" applyFont="1"/>
    <xf numFmtId="164" fontId="0" fillId="0" borderId="0" xfId="0" applyNumberFormat="1"/>
    <xf numFmtId="0" fontId="0" fillId="0" borderId="0" xfId="0" quotePrefix="1"/>
    <xf numFmtId="11" fontId="0" fillId="0" borderId="0" xfId="3" applyNumberFormat="1" applyFont="1"/>
    <xf numFmtId="9" fontId="0" fillId="0" borderId="0" xfId="2" applyFont="1"/>
    <xf numFmtId="9" fontId="0" fillId="0" borderId="0" xfId="0" applyNumberFormat="1"/>
    <xf numFmtId="0" fontId="1" fillId="2" borderId="2" xfId="0" applyFont="1" applyFill="1" applyBorder="1" applyAlignment="1">
      <alignment horizontal="center"/>
    </xf>
    <xf numFmtId="0" fontId="0" fillId="3" borderId="2" xfId="0" applyFill="1" applyBorder="1"/>
    <xf numFmtId="0" fontId="0" fillId="0" borderId="2" xfId="0" applyBorder="1"/>
    <xf numFmtId="0" fontId="0" fillId="4" borderId="2" xfId="0" applyFill="1" applyBorder="1"/>
    <xf numFmtId="0" fontId="0" fillId="0" borderId="0" xfId="0" applyAlignment="1">
      <alignment horizontal="right"/>
    </xf>
    <xf numFmtId="165" fontId="0" fillId="0" borderId="0" xfId="2" applyNumberFormat="1" applyFont="1"/>
    <xf numFmtId="165" fontId="0" fillId="0" borderId="0" xfId="0" applyNumberForma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67310</xdr:colOff>
      <xdr:row>2</xdr:row>
      <xdr:rowOff>65405</xdr:rowOff>
    </xdr:from>
    <xdr:to>
      <xdr:col>13</xdr:col>
      <xdr:colOff>368770</xdr:colOff>
      <xdr:row>17</xdr:row>
      <xdr:rowOff>22527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E0CCC4-B956-5B57-6869-11B687D8B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0710" y="427355"/>
          <a:ext cx="6397460" cy="2671747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</xdr:colOff>
      <xdr:row>16</xdr:row>
      <xdr:rowOff>152400</xdr:rowOff>
    </xdr:from>
    <xdr:to>
      <xdr:col>13</xdr:col>
      <xdr:colOff>364326</xdr:colOff>
      <xdr:row>44</xdr:row>
      <xdr:rowOff>21607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F3F29-D902-B426-390D-557399C91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3048000"/>
          <a:ext cx="6393651" cy="4946032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1</xdr:row>
      <xdr:rowOff>66675</xdr:rowOff>
    </xdr:from>
    <xdr:to>
      <xdr:col>24</xdr:col>
      <xdr:colOff>438577</xdr:colOff>
      <xdr:row>27</xdr:row>
      <xdr:rowOff>19738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501DE2-8761-70C9-4178-7FFA7D179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15625" y="257175"/>
          <a:ext cx="6746032" cy="4898443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26</xdr:row>
      <xdr:rowOff>142875</xdr:rowOff>
    </xdr:from>
    <xdr:to>
      <xdr:col>24</xdr:col>
      <xdr:colOff>478581</xdr:colOff>
      <xdr:row>41</xdr:row>
      <xdr:rowOff>75869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A70929-EF51-94E1-FFC3-177967989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820400" y="4667250"/>
          <a:ext cx="6755556" cy="26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73025</xdr:colOff>
      <xdr:row>0</xdr:row>
      <xdr:rowOff>104775</xdr:rowOff>
    </xdr:from>
    <xdr:to>
      <xdr:col>16</xdr:col>
      <xdr:colOff>497737</xdr:colOff>
      <xdr:row>34</xdr:row>
      <xdr:rowOff>40514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5C3166-DA09-C1D5-34F1-E413C9C0F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5325" y="104775"/>
          <a:ext cx="5911112" cy="6088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ublications.jrc.ec.europa.eu/repository/bitstream/JRC117816/accelerating_energy_renovation_investments_in_buildings.pdf" TargetMode="External"/><Relationship Id="rId1" Type="http://schemas.openxmlformats.org/officeDocument/2006/relationships/hyperlink" Target="https://ec.europa.eu/energy/sites/ener/files/documents/1.final_report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0828-2E37-43FF-9A71-F4460C03E7FB}">
  <dimension ref="A1:B21"/>
  <sheetViews>
    <sheetView zoomScale="85" zoomScaleNormal="85" workbookViewId="0">
      <selection activeCell="B6" sqref="B6"/>
    </sheetView>
  </sheetViews>
  <sheetFormatPr defaultRowHeight="14.4" x14ac:dyDescent="0.3"/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2019</v>
      </c>
    </row>
    <row r="5" spans="1:2" x14ac:dyDescent="0.3">
      <c r="B5" t="s">
        <v>3</v>
      </c>
    </row>
    <row r="6" spans="1:2" x14ac:dyDescent="0.3">
      <c r="B6" s="3" t="s">
        <v>4</v>
      </c>
    </row>
    <row r="7" spans="1:2" x14ac:dyDescent="0.3">
      <c r="B7" t="s">
        <v>5</v>
      </c>
    </row>
    <row r="8" spans="1:2" x14ac:dyDescent="0.3">
      <c r="B8" t="s">
        <v>6</v>
      </c>
    </row>
    <row r="9" spans="1:2" x14ac:dyDescent="0.3">
      <c r="B9" t="s">
        <v>7</v>
      </c>
    </row>
    <row r="11" spans="1:2" x14ac:dyDescent="0.3">
      <c r="B11" t="s">
        <v>2</v>
      </c>
    </row>
    <row r="12" spans="1:2" x14ac:dyDescent="0.3">
      <c r="B12" s="2">
        <v>2019</v>
      </c>
    </row>
    <row r="13" spans="1:2" x14ac:dyDescent="0.3">
      <c r="B13" t="s">
        <v>8</v>
      </c>
    </row>
    <row r="14" spans="1:2" x14ac:dyDescent="0.3">
      <c r="B14" s="3" t="s">
        <v>9</v>
      </c>
    </row>
    <row r="15" spans="1:2" x14ac:dyDescent="0.3">
      <c r="B15" t="s">
        <v>10</v>
      </c>
    </row>
    <row r="16" spans="1:2" x14ac:dyDescent="0.3">
      <c r="B16" s="10" t="s">
        <v>11</v>
      </c>
    </row>
    <row r="18" spans="1:1" x14ac:dyDescent="0.3">
      <c r="A18" s="1" t="s">
        <v>12</v>
      </c>
    </row>
    <row r="19" spans="1:1" x14ac:dyDescent="0.3">
      <c r="A19" t="s">
        <v>13</v>
      </c>
    </row>
    <row r="20" spans="1:1" x14ac:dyDescent="0.3">
      <c r="A20" t="s">
        <v>14</v>
      </c>
    </row>
    <row r="21" spans="1:1" x14ac:dyDescent="0.3">
      <c r="A21" t="s">
        <v>15</v>
      </c>
    </row>
  </sheetData>
  <hyperlinks>
    <hyperlink ref="B14" r:id="rId1" xr:uid="{000A3B66-8F63-46B0-B302-00E115281537}"/>
    <hyperlink ref="B6" r:id="rId2" xr:uid="{385E15E3-F58E-4B67-9075-15A9149247E2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FA62-16BB-4616-90B5-C4E8A6C15F77}">
  <dimension ref="A1:G55"/>
  <sheetViews>
    <sheetView workbookViewId="0">
      <selection activeCell="C9" sqref="C9"/>
    </sheetView>
  </sheetViews>
  <sheetFormatPr defaultRowHeight="14.4" x14ac:dyDescent="0.3"/>
  <cols>
    <col min="1" max="1" width="41.109375" bestFit="1" customWidth="1"/>
    <col min="2" max="2" width="11.6640625" bestFit="1" customWidth="1"/>
    <col min="3" max="3" width="10.5546875" customWidth="1"/>
  </cols>
  <sheetData>
    <row r="1" spans="1:5" x14ac:dyDescent="0.3">
      <c r="A1" s="1" t="s">
        <v>16</v>
      </c>
    </row>
    <row r="2" spans="1:5" x14ac:dyDescent="0.3">
      <c r="B2" t="s">
        <v>24</v>
      </c>
      <c r="C2" t="s">
        <v>77</v>
      </c>
      <c r="E2" t="s">
        <v>17</v>
      </c>
    </row>
    <row r="3" spans="1:5" x14ac:dyDescent="0.3">
      <c r="A3" t="s">
        <v>18</v>
      </c>
      <c r="B3" s="5">
        <f>(F49-F50)*10^6</f>
        <v>181179000000</v>
      </c>
      <c r="C3" s="5">
        <f>(G49-G50)*10^6</f>
        <v>111123000000</v>
      </c>
    </row>
    <row r="4" spans="1:5" x14ac:dyDescent="0.3">
      <c r="A4" t="s">
        <v>19</v>
      </c>
      <c r="B4" s="5">
        <f>(F54-F55)*10^6</f>
        <v>63996000000</v>
      </c>
      <c r="C4" s="5">
        <f>(G54-G55)*10^6</f>
        <v>50730000000</v>
      </c>
    </row>
    <row r="5" spans="1:5" x14ac:dyDescent="0.3">
      <c r="A5" s="6" t="s">
        <v>20</v>
      </c>
      <c r="B5" s="7">
        <f>SUM(B3:B4)</f>
        <v>245175000000</v>
      </c>
      <c r="C5" s="7">
        <f>SUM(C3:C4)</f>
        <v>161853000000</v>
      </c>
    </row>
    <row r="7" spans="1:5" x14ac:dyDescent="0.3">
      <c r="A7" t="s">
        <v>21</v>
      </c>
      <c r="B7" s="5">
        <f>'Public Financing'!C23</f>
        <v>8415862013.6159191</v>
      </c>
      <c r="C7" s="5">
        <f>'Public Financing'!C23</f>
        <v>8415862013.6159191</v>
      </c>
    </row>
    <row r="9" spans="1:5" x14ac:dyDescent="0.3">
      <c r="A9" t="s">
        <v>22</v>
      </c>
      <c r="B9" s="8">
        <f>B7/B5</f>
        <v>3.4325938670810317E-2</v>
      </c>
      <c r="C9" s="8">
        <f>C7/C5</f>
        <v>5.1996947931863602E-2</v>
      </c>
    </row>
    <row r="47" spans="5:7" x14ac:dyDescent="0.3">
      <c r="E47" t="s">
        <v>23</v>
      </c>
    </row>
    <row r="48" spans="5:7" x14ac:dyDescent="0.3">
      <c r="F48" t="s">
        <v>24</v>
      </c>
      <c r="G48" t="s">
        <v>77</v>
      </c>
    </row>
    <row r="49" spans="5:7" x14ac:dyDescent="0.3">
      <c r="E49" t="s">
        <v>25</v>
      </c>
      <c r="F49">
        <f>209326</f>
        <v>209326</v>
      </c>
      <c r="G49">
        <f>F49-78155</f>
        <v>131171</v>
      </c>
    </row>
    <row r="50" spans="5:7" x14ac:dyDescent="0.3">
      <c r="E50" t="s">
        <v>26</v>
      </c>
      <c r="F50">
        <f>28147</f>
        <v>28147</v>
      </c>
      <c r="G50">
        <f>F50-8099</f>
        <v>20048</v>
      </c>
    </row>
    <row r="52" spans="5:7" x14ac:dyDescent="0.3">
      <c r="E52" t="s">
        <v>27</v>
      </c>
    </row>
    <row r="53" spans="5:7" x14ac:dyDescent="0.3">
      <c r="F53" t="s">
        <v>24</v>
      </c>
      <c r="G53" t="s">
        <v>77</v>
      </c>
    </row>
    <row r="54" spans="5:7" x14ac:dyDescent="0.3">
      <c r="E54" t="s">
        <v>25</v>
      </c>
      <c r="F54">
        <f>71312</f>
        <v>71312</v>
      </c>
      <c r="G54">
        <f>F54-14679</f>
        <v>56633</v>
      </c>
    </row>
    <row r="55" spans="5:7" x14ac:dyDescent="0.3">
      <c r="E55" t="s">
        <v>26</v>
      </c>
      <c r="F55">
        <f>7316</f>
        <v>7316</v>
      </c>
      <c r="G55">
        <f>F55-1413</f>
        <v>5903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F75D-B2E5-4997-BC6C-2D3CAAE4DD17}">
  <dimension ref="A1:F27"/>
  <sheetViews>
    <sheetView workbookViewId="0">
      <selection activeCell="B1" sqref="B1:C1"/>
    </sheetView>
  </sheetViews>
  <sheetFormatPr defaultRowHeight="14.4" x14ac:dyDescent="0.3"/>
  <cols>
    <col min="2" max="2" width="26.88671875" customWidth="1"/>
    <col min="3" max="3" width="36.33203125" customWidth="1"/>
    <col min="4" max="4" width="10.5546875" customWidth="1"/>
    <col min="5" max="5" width="9.109375" customWidth="1"/>
  </cols>
  <sheetData>
    <row r="1" spans="1:6" x14ac:dyDescent="0.3">
      <c r="A1" t="s">
        <v>28</v>
      </c>
    </row>
    <row r="2" spans="1:6" x14ac:dyDescent="0.3">
      <c r="B2" s="11">
        <f>10000000000</f>
        <v>10000000000</v>
      </c>
    </row>
    <row r="3" spans="1:6" x14ac:dyDescent="0.3">
      <c r="A3" t="s">
        <v>29</v>
      </c>
    </row>
    <row r="4" spans="1:6" x14ac:dyDescent="0.3">
      <c r="B4" s="12">
        <f>0.45</f>
        <v>0.45</v>
      </c>
      <c r="C4" t="s">
        <v>30</v>
      </c>
    </row>
    <row r="5" spans="1:6" x14ac:dyDescent="0.3">
      <c r="B5" s="12">
        <f>0.27</f>
        <v>0.27</v>
      </c>
      <c r="C5" t="s">
        <v>31</v>
      </c>
    </row>
    <row r="6" spans="1:6" x14ac:dyDescent="0.3">
      <c r="B6" s="12">
        <f>0.28</f>
        <v>0.28000000000000003</v>
      </c>
      <c r="C6" t="s">
        <v>32</v>
      </c>
    </row>
    <row r="7" spans="1:6" x14ac:dyDescent="0.3">
      <c r="B7" s="13">
        <f>SUM(B4:B6)</f>
        <v>1</v>
      </c>
    </row>
    <row r="9" spans="1:6" x14ac:dyDescent="0.3">
      <c r="B9" s="14" t="s">
        <v>30</v>
      </c>
      <c r="C9" t="s">
        <v>33</v>
      </c>
      <c r="D9" t="s">
        <v>34</v>
      </c>
      <c r="F9" s="5">
        <f>1000000</f>
        <v>1000000</v>
      </c>
    </row>
    <row r="10" spans="1:6" x14ac:dyDescent="0.3">
      <c r="B10" s="15" t="s">
        <v>35</v>
      </c>
      <c r="C10" s="5">
        <f>11.56*F9</f>
        <v>11560000</v>
      </c>
      <c r="D10" s="19">
        <f>C10/$C$19</f>
        <v>6.0539638079275239E-2</v>
      </c>
    </row>
    <row r="11" spans="1:6" x14ac:dyDescent="0.3">
      <c r="B11" s="15" t="s">
        <v>36</v>
      </c>
      <c r="C11" s="5">
        <f>5.831*F9</f>
        <v>5831000</v>
      </c>
      <c r="D11" s="19">
        <f t="shared" ref="D11:D17" si="0">C11/$C$19</f>
        <v>3.0536905678222658E-2</v>
      </c>
    </row>
    <row r="12" spans="1:6" x14ac:dyDescent="0.3">
      <c r="B12" s="15" t="s">
        <v>37</v>
      </c>
      <c r="C12" s="5">
        <f>5.531*F9</f>
        <v>5531000</v>
      </c>
      <c r="D12" s="19">
        <f t="shared" si="0"/>
        <v>2.8965807804193024E-2</v>
      </c>
    </row>
    <row r="13" spans="1:6" x14ac:dyDescent="0.3">
      <c r="B13" s="15" t="s">
        <v>38</v>
      </c>
      <c r="C13" s="5">
        <f>67.39*F9</f>
        <v>67390000</v>
      </c>
      <c r="D13" s="19">
        <f t="shared" si="0"/>
        <v>0.35292095243619021</v>
      </c>
    </row>
    <row r="14" spans="1:6" x14ac:dyDescent="0.3">
      <c r="B14" s="15" t="s">
        <v>39</v>
      </c>
      <c r="C14" s="5">
        <f>4.995*F9</f>
        <v>4995000</v>
      </c>
      <c r="D14" s="19">
        <f t="shared" si="0"/>
        <v>2.6158779602593413E-2</v>
      </c>
    </row>
    <row r="15" spans="1:6" x14ac:dyDescent="0.3">
      <c r="B15" s="15" t="s">
        <v>40</v>
      </c>
      <c r="C15" s="5">
        <f>0.632275*F9</f>
        <v>632275</v>
      </c>
      <c r="D15" s="19">
        <f t="shared" si="0"/>
        <v>3.3112196943402899E-3</v>
      </c>
    </row>
    <row r="16" spans="1:6" x14ac:dyDescent="0.3">
      <c r="B16" s="15" t="s">
        <v>41</v>
      </c>
      <c r="C16" s="5">
        <f>17.44*F9</f>
        <v>17440000</v>
      </c>
      <c r="D16" s="19">
        <f t="shared" si="0"/>
        <v>9.1333156410256078E-2</v>
      </c>
    </row>
    <row r="17" spans="1:4" x14ac:dyDescent="0.3">
      <c r="B17" s="15" t="s">
        <v>42</v>
      </c>
      <c r="C17" s="5">
        <f>10.35*F9</f>
        <v>10350000</v>
      </c>
      <c r="D17" s="19">
        <f t="shared" si="0"/>
        <v>5.4202876654022382E-2</v>
      </c>
    </row>
    <row r="18" spans="1:4" x14ac:dyDescent="0.3">
      <c r="B18" s="15" t="s">
        <v>43</v>
      </c>
      <c r="C18" s="5">
        <f>67.22*F9</f>
        <v>67220000</v>
      </c>
      <c r="D18" s="19">
        <f>C18/$C$19</f>
        <v>0.35203066364090674</v>
      </c>
    </row>
    <row r="19" spans="1:4" x14ac:dyDescent="0.3">
      <c r="B19" s="18" t="s">
        <v>20</v>
      </c>
      <c r="C19" s="5">
        <f>SUM(C10:C18)</f>
        <v>190949275</v>
      </c>
      <c r="D19" s="20">
        <f>SUM(D10:D18)</f>
        <v>1</v>
      </c>
    </row>
    <row r="21" spans="1:4" x14ac:dyDescent="0.3">
      <c r="A21" t="s">
        <v>44</v>
      </c>
    </row>
    <row r="22" spans="1:4" x14ac:dyDescent="0.3">
      <c r="B22" t="s">
        <v>45</v>
      </c>
      <c r="C22" s="11">
        <f>B2*B4*D18</f>
        <v>1584137986.3840804</v>
      </c>
    </row>
    <row r="23" spans="1:4" x14ac:dyDescent="0.3">
      <c r="B23" t="s">
        <v>46</v>
      </c>
      <c r="C23" s="5">
        <f>B2-C22</f>
        <v>8415862013.6159191</v>
      </c>
    </row>
    <row r="27" spans="1:4" x14ac:dyDescent="0.3">
      <c r="C2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FD7FB-93A8-40AE-8CBF-97E117E7496C}">
  <dimension ref="A1:B30"/>
  <sheetViews>
    <sheetView topLeftCell="A10" workbookViewId="0">
      <selection activeCell="B3" sqref="B3"/>
    </sheetView>
  </sheetViews>
  <sheetFormatPr defaultRowHeight="14.4" x14ac:dyDescent="0.3"/>
  <cols>
    <col min="1" max="2" width="17.6640625" customWidth="1"/>
  </cols>
  <sheetData>
    <row r="1" spans="1:2" x14ac:dyDescent="0.3">
      <c r="A1" t="s">
        <v>47</v>
      </c>
    </row>
    <row r="2" spans="1:2" x14ac:dyDescent="0.3">
      <c r="A2" s="14" t="s">
        <v>48</v>
      </c>
      <c r="B2" s="14" t="s">
        <v>49</v>
      </c>
    </row>
    <row r="3" spans="1:2" x14ac:dyDescent="0.3">
      <c r="A3" s="15" t="s">
        <v>50</v>
      </c>
      <c r="B3" s="16" t="s">
        <v>51</v>
      </c>
    </row>
    <row r="4" spans="1:2" x14ac:dyDescent="0.3">
      <c r="A4" s="15" t="s">
        <v>35</v>
      </c>
      <c r="B4" s="17" t="s">
        <v>52</v>
      </c>
    </row>
    <row r="5" spans="1:2" x14ac:dyDescent="0.3">
      <c r="A5" s="15" t="s">
        <v>53</v>
      </c>
      <c r="B5" s="16" t="s">
        <v>51</v>
      </c>
    </row>
    <row r="6" spans="1:2" x14ac:dyDescent="0.3">
      <c r="A6" s="15" t="s">
        <v>54</v>
      </c>
      <c r="B6" s="16" t="s">
        <v>51</v>
      </c>
    </row>
    <row r="7" spans="1:2" x14ac:dyDescent="0.3">
      <c r="A7" s="15" t="s">
        <v>55</v>
      </c>
      <c r="B7" s="16" t="s">
        <v>56</v>
      </c>
    </row>
    <row r="8" spans="1:2" x14ac:dyDescent="0.3">
      <c r="A8" s="15" t="s">
        <v>57</v>
      </c>
      <c r="B8" s="16" t="s">
        <v>51</v>
      </c>
    </row>
    <row r="9" spans="1:2" x14ac:dyDescent="0.3">
      <c r="A9" s="15" t="s">
        <v>36</v>
      </c>
      <c r="B9" s="17" t="s">
        <v>52</v>
      </c>
    </row>
    <row r="10" spans="1:2" x14ac:dyDescent="0.3">
      <c r="A10" s="15" t="s">
        <v>58</v>
      </c>
      <c r="B10" s="16" t="s">
        <v>51</v>
      </c>
    </row>
    <row r="11" spans="1:2" x14ac:dyDescent="0.3">
      <c r="A11" s="15" t="s">
        <v>37</v>
      </c>
      <c r="B11" s="17" t="s">
        <v>52</v>
      </c>
    </row>
    <row r="12" spans="1:2" x14ac:dyDescent="0.3">
      <c r="A12" s="15" t="s">
        <v>38</v>
      </c>
      <c r="B12" s="17" t="s">
        <v>52</v>
      </c>
    </row>
    <row r="13" spans="1:2" x14ac:dyDescent="0.3">
      <c r="A13" s="15" t="s">
        <v>59</v>
      </c>
      <c r="B13" s="16" t="s">
        <v>51</v>
      </c>
    </row>
    <row r="14" spans="1:2" x14ac:dyDescent="0.3">
      <c r="A14" s="15" t="s">
        <v>60</v>
      </c>
      <c r="B14" s="16" t="s">
        <v>56</v>
      </c>
    </row>
    <row r="15" spans="1:2" x14ac:dyDescent="0.3">
      <c r="A15" s="15" t="s">
        <v>61</v>
      </c>
      <c r="B15" s="16" t="s">
        <v>51</v>
      </c>
    </row>
    <row r="16" spans="1:2" x14ac:dyDescent="0.3">
      <c r="A16" s="15" t="s">
        <v>39</v>
      </c>
      <c r="B16" s="17" t="s">
        <v>52</v>
      </c>
    </row>
    <row r="17" spans="1:2" x14ac:dyDescent="0.3">
      <c r="A17" s="15" t="s">
        <v>62</v>
      </c>
      <c r="B17" s="16" t="s">
        <v>56</v>
      </c>
    </row>
    <row r="18" spans="1:2" x14ac:dyDescent="0.3">
      <c r="A18" s="15" t="s">
        <v>63</v>
      </c>
      <c r="B18" s="16" t="s">
        <v>51</v>
      </c>
    </row>
    <row r="19" spans="1:2" x14ac:dyDescent="0.3">
      <c r="A19" s="15" t="s">
        <v>64</v>
      </c>
      <c r="B19" s="16" t="s">
        <v>51</v>
      </c>
    </row>
    <row r="20" spans="1:2" x14ac:dyDescent="0.3">
      <c r="A20" s="15" t="s">
        <v>40</v>
      </c>
      <c r="B20" s="17" t="s">
        <v>52</v>
      </c>
    </row>
    <row r="21" spans="1:2" x14ac:dyDescent="0.3">
      <c r="A21" s="15" t="s">
        <v>65</v>
      </c>
      <c r="B21" s="16" t="s">
        <v>56</v>
      </c>
    </row>
    <row r="22" spans="1:2" x14ac:dyDescent="0.3">
      <c r="A22" s="15" t="s">
        <v>41</v>
      </c>
      <c r="B22" s="17" t="s">
        <v>52</v>
      </c>
    </row>
    <row r="23" spans="1:2" x14ac:dyDescent="0.3">
      <c r="A23" s="15" t="s">
        <v>66</v>
      </c>
      <c r="B23" s="16" t="s">
        <v>51</v>
      </c>
    </row>
    <row r="24" spans="1:2" x14ac:dyDescent="0.3">
      <c r="A24" s="15" t="s">
        <v>67</v>
      </c>
      <c r="B24" s="16" t="s">
        <v>56</v>
      </c>
    </row>
    <row r="25" spans="1:2" x14ac:dyDescent="0.3">
      <c r="A25" s="15" t="s">
        <v>68</v>
      </c>
      <c r="B25" s="16" t="s">
        <v>51</v>
      </c>
    </row>
    <row r="26" spans="1:2" x14ac:dyDescent="0.3">
      <c r="A26" s="15" t="s">
        <v>69</v>
      </c>
      <c r="B26" s="16" t="s">
        <v>51</v>
      </c>
    </row>
    <row r="27" spans="1:2" x14ac:dyDescent="0.3">
      <c r="A27" s="15" t="s">
        <v>70</v>
      </c>
      <c r="B27" s="16" t="s">
        <v>51</v>
      </c>
    </row>
    <row r="28" spans="1:2" x14ac:dyDescent="0.3">
      <c r="A28" s="15" t="s">
        <v>71</v>
      </c>
      <c r="B28" s="16" t="s">
        <v>56</v>
      </c>
    </row>
    <row r="29" spans="1:2" x14ac:dyDescent="0.3">
      <c r="A29" s="15" t="s">
        <v>42</v>
      </c>
      <c r="B29" s="17" t="s">
        <v>52</v>
      </c>
    </row>
    <row r="30" spans="1:2" x14ac:dyDescent="0.3">
      <c r="A30" s="15" t="s">
        <v>43</v>
      </c>
      <c r="B30" s="17" t="s">
        <v>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72B00-B157-41C5-B107-14ECB7FAB6F3}">
  <sheetPr>
    <tabColor theme="4" tint="-0.249977111117893"/>
  </sheetPr>
  <dimension ref="A1:B4"/>
  <sheetViews>
    <sheetView tabSelected="1" workbookViewId="0">
      <selection activeCell="B4" sqref="B4"/>
    </sheetView>
  </sheetViews>
  <sheetFormatPr defaultRowHeight="14.4" x14ac:dyDescent="0.3"/>
  <cols>
    <col min="1" max="1" width="39.33203125" customWidth="1"/>
  </cols>
  <sheetData>
    <row r="1" spans="1:2" x14ac:dyDescent="0.3">
      <c r="A1" s="4" t="s">
        <v>72</v>
      </c>
      <c r="B1" t="s">
        <v>73</v>
      </c>
    </row>
    <row r="2" spans="1:2" x14ac:dyDescent="0.3">
      <c r="A2" t="s">
        <v>74</v>
      </c>
      <c r="B2" s="9">
        <f>'Spending Data'!$C$9</f>
        <v>5.1996947931863602E-2</v>
      </c>
    </row>
    <row r="3" spans="1:2" x14ac:dyDescent="0.3">
      <c r="A3" t="s">
        <v>75</v>
      </c>
      <c r="B3" s="9">
        <f>'Spending Data'!$C$9</f>
        <v>5.1996947931863602E-2</v>
      </c>
    </row>
    <row r="4" spans="1:2" x14ac:dyDescent="0.3">
      <c r="A4" t="s">
        <v>76</v>
      </c>
      <c r="B4" s="9">
        <f>'Spending Data'!$C$9</f>
        <v>5.1996947931863602E-2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3" ma:contentTypeDescription="Ein neues Dokument erstellen." ma:contentTypeScope="" ma:versionID="ecf9d80fe0681d8e397c19ef62846c2e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928f64266605fa42fea75ae7d7349071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CD9C60-539C-44AE-9714-2D3DC22ABFBC}"/>
</file>

<file path=customXml/itemProps2.xml><?xml version="1.0" encoding="utf-8"?>
<ds:datastoreItem xmlns:ds="http://schemas.openxmlformats.org/officeDocument/2006/customXml" ds:itemID="{02A133C7-FB9D-493C-A495-302510364AB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958ECD17-A4F6-42EA-9739-D97FDE2AE0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Spending Data</vt:lpstr>
      <vt:lpstr>Public Financing</vt:lpstr>
      <vt:lpstr>Crosswalk</vt:lpstr>
      <vt:lpstr>SoBRCBbG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Michael Steck</cp:lastModifiedBy>
  <cp:revision/>
  <dcterms:created xsi:type="dcterms:W3CDTF">2020-10-30T02:44:53Z</dcterms:created>
  <dcterms:modified xsi:type="dcterms:W3CDTF">2023-12-04T09:25:53Z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