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GA\webappdata\"/>
    </mc:Choice>
  </mc:AlternateContent>
  <xr:revisionPtr revIDLastSave="0" documentId="8_{D07EC400-F3B8-46B7-A988-B596FE8E1187}"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6" i="23"/>
  <c r="AD6" i="23"/>
  <c r="F7" i="23"/>
  <c r="AD7" i="23"/>
  <c r="V8" i="23"/>
  <c r="F9" i="23"/>
  <c r="N9" i="23"/>
  <c r="AD9" i="23"/>
  <c r="V10" i="23"/>
  <c r="F11" i="23"/>
  <c r="N11" i="23"/>
  <c r="AD11" i="23"/>
  <c r="V12" i="23"/>
  <c r="F13" i="23"/>
  <c r="N13" i="23"/>
  <c r="AD13" i="23"/>
  <c r="V14" i="23"/>
  <c r="F15" i="23"/>
  <c r="N15" i="23"/>
  <c r="AD15" i="23"/>
  <c r="V16" i="23"/>
  <c r="F17" i="23"/>
  <c r="N17" i="23"/>
  <c r="AD17" i="23"/>
  <c r="V18" i="23"/>
  <c r="F19" i="23"/>
  <c r="O19" i="23"/>
  <c r="AG19" i="23"/>
  <c r="AC20" i="23"/>
  <c r="Q21" i="23"/>
  <c r="AB21" i="23"/>
  <c r="Q22" i="23"/>
  <c r="Q23" i="23"/>
  <c r="G24" i="23"/>
  <c r="Q24" i="23"/>
  <c r="I26" i="23"/>
  <c r="AB28" i="23"/>
  <c r="T30" i="23"/>
  <c r="S31" i="23"/>
  <c r="T33" i="23"/>
  <c r="AB36" i="23"/>
  <c r="S39" i="23"/>
  <c r="AB40" i="23"/>
  <c r="Y43" i="23"/>
  <c r="C49" i="23"/>
  <c r="Q52" i="23"/>
  <c r="X54" i="23"/>
  <c r="I60" i="23"/>
  <c r="M77" i="23"/>
  <c r="AF4" i="23"/>
  <c r="H5" i="23"/>
  <c r="X5" i="23"/>
  <c r="P6" i="23"/>
  <c r="AF6" i="23"/>
  <c r="H7" i="23"/>
  <c r="X7" i="23"/>
  <c r="P8" i="23"/>
  <c r="AF8" i="23"/>
  <c r="H9" i="23"/>
  <c r="X9" i="23"/>
  <c r="P10" i="23"/>
  <c r="AF10" i="23"/>
  <c r="H11" i="23"/>
  <c r="X11" i="23"/>
  <c r="P12" i="23"/>
  <c r="AF12" i="23"/>
  <c r="H13" i="23"/>
  <c r="X13" i="23"/>
  <c r="P14" i="23"/>
  <c r="AF14" i="23"/>
  <c r="H15" i="23"/>
  <c r="X15" i="23"/>
  <c r="P16" i="23"/>
  <c r="AF16" i="23"/>
  <c r="H17" i="23"/>
  <c r="X17" i="23"/>
  <c r="P18" i="23"/>
  <c r="AF18" i="23"/>
  <c r="H19" i="23"/>
  <c r="Z19" i="23"/>
  <c r="V20" i="23"/>
  <c r="I21" i="23"/>
  <c r="T21" i="23"/>
  <c r="I22" i="23"/>
  <c r="I23" i="23"/>
  <c r="AE23" i="23"/>
  <c r="I24" i="23"/>
  <c r="S25" i="23"/>
  <c r="I28" i="23"/>
  <c r="AG29" i="23"/>
  <c r="AB30" i="23"/>
  <c r="AB32" i="23"/>
  <c r="AG35" i="23"/>
  <c r="L38" i="23"/>
  <c r="Y39" i="23"/>
  <c r="L42" i="23"/>
  <c r="Y47" i="23"/>
  <c r="D51" i="23"/>
  <c r="C53" i="23"/>
  <c r="G58" i="23"/>
  <c r="AA68" i="23"/>
  <c r="Y16" i="23"/>
  <c r="AG16" i="23"/>
  <c r="Q17" i="23"/>
  <c r="I18" i="23"/>
  <c r="Y18" i="23"/>
  <c r="AG18" i="23"/>
  <c r="R19" i="23"/>
  <c r="N20" i="23"/>
  <c r="AF20" i="23"/>
  <c r="J21" i="23"/>
  <c r="AF21" i="23"/>
  <c r="AF22" i="23"/>
  <c r="U23" i="23"/>
  <c r="AF23" i="23"/>
  <c r="Y24" i="23"/>
  <c r="L27" i="23"/>
  <c r="D29" i="23"/>
  <c r="C30" i="23"/>
  <c r="AA31" i="23"/>
  <c r="C35" i="23"/>
  <c r="D37" i="23"/>
  <c r="Q38" i="23"/>
  <c r="D41" i="23"/>
  <c r="K46" i="23"/>
  <c r="Y49" i="23"/>
  <c r="T51" i="23"/>
  <c r="AC55" i="23"/>
  <c r="J64" i="23"/>
  <c r="J41" i="27"/>
  <c r="K41" i="27" s="1"/>
  <c r="AH87" i="23"/>
  <c r="R87" i="23"/>
  <c r="Z86" i="23"/>
  <c r="J86" i="23"/>
  <c r="AH85" i="23"/>
  <c r="R85" i="23"/>
  <c r="Z84" i="23"/>
  <c r="J84" i="23"/>
  <c r="AH83" i="23"/>
  <c r="R83" i="23"/>
  <c r="Z82" i="23"/>
  <c r="J82" i="23"/>
  <c r="AH81" i="23"/>
  <c r="R81" i="23"/>
  <c r="Z80" i="23"/>
  <c r="J80" i="23"/>
  <c r="AH79" i="23"/>
  <c r="R79" i="23"/>
  <c r="J79" i="23"/>
  <c r="AH78" i="23"/>
  <c r="Z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Z79" i="23" l="1"/>
  <c r="Z81" i="23"/>
  <c r="Z83" i="23"/>
  <c r="Z85" i="23"/>
  <c r="Z87" i="23"/>
  <c r="D53" i="23"/>
  <c r="AA39" i="23"/>
  <c r="AG30" i="23"/>
  <c r="J24" i="23"/>
  <c r="U21" i="23"/>
  <c r="I19" i="23"/>
  <c r="I17" i="23"/>
  <c r="Y55" i="23"/>
  <c r="C41" i="23"/>
  <c r="Y31" i="23"/>
  <c r="T24" i="23"/>
  <c r="AE21" i="23"/>
  <c r="Q19" i="23"/>
  <c r="P17" i="23"/>
  <c r="P15" i="23"/>
  <c r="P13" i="23"/>
  <c r="P11" i="23"/>
  <c r="P9" i="23"/>
  <c r="P7" i="23"/>
  <c r="P5" i="23"/>
  <c r="AC57" i="23"/>
  <c r="I42" i="23"/>
  <c r="Q32" i="23"/>
  <c r="K25" i="23"/>
  <c r="G22" i="23"/>
  <c r="X19" i="23"/>
  <c r="V17" i="23"/>
  <c r="V15" i="23"/>
  <c r="V13" i="23"/>
  <c r="V11" i="23"/>
  <c r="V9" i="23"/>
  <c r="N7" i="23"/>
  <c r="R78" i="23"/>
  <c r="R80" i="23"/>
  <c r="R82" i="23"/>
  <c r="R84" i="23"/>
  <c r="R86" i="23"/>
  <c r="AC70" i="23"/>
  <c r="AA47" i="23"/>
  <c r="I36" i="23"/>
  <c r="K28" i="23"/>
  <c r="J23" i="23"/>
  <c r="W20" i="23"/>
  <c r="Q18" i="23"/>
  <c r="AD79" i="23"/>
  <c r="T49" i="23"/>
  <c r="C37" i="23"/>
  <c r="C29" i="23"/>
  <c r="T23" i="23"/>
  <c r="AE20" i="23"/>
  <c r="X18" i="23"/>
  <c r="X16" i="23"/>
  <c r="X14" i="23"/>
  <c r="X12" i="23"/>
  <c r="X10" i="23"/>
  <c r="X8" i="23"/>
  <c r="X6" i="23"/>
  <c r="X4" i="23"/>
  <c r="X1" i="23" s="1"/>
  <c r="AG50" i="23"/>
  <c r="I38" i="23"/>
  <c r="Y29" i="23"/>
  <c r="AB23" i="23"/>
  <c r="G21" i="23"/>
  <c r="AD18" i="23"/>
  <c r="AD16" i="23"/>
  <c r="AD14" i="23"/>
  <c r="AD12" i="23"/>
  <c r="AD10" i="23"/>
  <c r="AD8" i="23"/>
  <c r="V6" i="23"/>
  <c r="AH80" i="23"/>
  <c r="AH82" i="23"/>
  <c r="AH84" i="23"/>
  <c r="AH86" i="23"/>
  <c r="M61" i="23"/>
  <c r="L44" i="23"/>
  <c r="AG33" i="23"/>
  <c r="Q26" i="23"/>
  <c r="U22" i="23"/>
  <c r="E20" i="23"/>
  <c r="AG17" i="23"/>
  <c r="I64" i="23"/>
  <c r="AA45" i="23"/>
  <c r="AG34" i="23"/>
  <c r="K27" i="23"/>
  <c r="AE22" i="23"/>
  <c r="M20" i="23"/>
  <c r="H18" i="23"/>
  <c r="H16" i="23"/>
  <c r="H14" i="23"/>
  <c r="H12" i="23"/>
  <c r="H10" i="23"/>
  <c r="H8" i="23"/>
  <c r="H6" i="23"/>
  <c r="W66" i="23"/>
  <c r="D47" i="23"/>
  <c r="Y35" i="23"/>
  <c r="AG27" i="23"/>
  <c r="G23" i="23"/>
  <c r="T20" i="23"/>
  <c r="N18" i="23"/>
  <c r="N16" i="23"/>
  <c r="N14" i="23"/>
  <c r="N12" i="23"/>
  <c r="N10" i="23"/>
  <c r="N8" i="23"/>
  <c r="F6" i="23"/>
  <c r="J81" i="23"/>
  <c r="J83" i="23"/>
  <c r="J85" i="23"/>
  <c r="J87" i="23"/>
  <c r="AF58" i="23"/>
  <c r="Q42" i="23"/>
  <c r="AG32" i="23"/>
  <c r="T25" i="23"/>
  <c r="J22" i="23"/>
  <c r="AB19" i="23"/>
  <c r="Y17" i="23"/>
  <c r="E61" i="23"/>
  <c r="K44" i="23"/>
  <c r="AA33" i="23"/>
  <c r="L26" i="23"/>
  <c r="T22" i="23"/>
  <c r="D20" i="23"/>
  <c r="AF17" i="23"/>
  <c r="AF15" i="23"/>
  <c r="AF13" i="23"/>
  <c r="AF11" i="23"/>
  <c r="AF9" i="23"/>
  <c r="AF7" i="23"/>
  <c r="AF1" i="23" s="1"/>
  <c r="AF5" i="23"/>
  <c r="M63" i="23"/>
  <c r="T45" i="23"/>
  <c r="T34" i="23"/>
  <c r="C27" i="23"/>
  <c r="AB22" i="23"/>
  <c r="J20" i="23"/>
  <c r="F18" i="23"/>
  <c r="F16" i="23"/>
  <c r="F14" i="23"/>
  <c r="F12" i="23"/>
  <c r="F10" i="23"/>
  <c r="F1" i="23" s="1"/>
  <c r="F8" i="23"/>
  <c r="N5" i="23"/>
  <c r="AD5" i="23"/>
  <c r="AD4" i="23"/>
  <c r="V4" i="23"/>
  <c r="N4" i="23"/>
  <c r="Q7" i="29"/>
  <c r="K4"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AD1" i="23" l="1"/>
  <c r="AH1" i="23"/>
  <c r="K1" i="23"/>
  <c r="AA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<sst xmlns="http://schemas.openxmlformats.org/spreadsheetml/2006/main" count="30815" uniqueCount="2737">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</sst>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2310</v>
      </c>
      <c r="C1" s="193">
        <v>45967</v>
      </c>
      <c r="G1" s="123" t="s">
        <v>2262</v>
      </c>
      <c r="H1" s="123" t="s">
        <v>2263</v>
      </c>
    </row>
    <row r="2" spans="1:8" x14ac:dyDescent="0.25">
      <c r="B2" t="str">
        <f>_xlfn.XLOOKUP(B1,H:H,G:G,0,0,1)</f>
        <v>GA</v>
      </c>
      <c r="C2" t="str">
        <f>_xlfn.XLOOKUP(B2,G:G, H:H, 0,0,1)</f>
        <v>Georgia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Georgia.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Georgia, a 100% setting provides for an additional  5597 MW of demand response capacity in 2050 (on top of a BAU quantity of 2677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Georgia, the share of electricity among fuels used for heating in urban, residential buildings will rise from 22% to 28%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Georgia, the share of electricity among fuels used for appliances in urban, residential buildings will fall from 54%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Georgia, the share of electricity among fuels used for heating in rural, residential buildings will rise from 22% to 28%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Georgia, the share of electricity among fuels used for appliances in rural, residential buildings will fall from 54%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Georgia,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Georgia, the share of electricity among fuels used for appliances in commercial buildings will fall from 58% to 55%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Georgia, the share of electricity among fuels used for other components in commercial buildings will rise from 69% to 78%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83%.</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Georgia, a 100% setting provides for an additional  5597 MW of demand response capacity in 2050 (on top of a BAU quantity of 2677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Georgia, a 100% setting provides for an additional  5597 MW of demand response capacity in 2050 (on top of a BAU quantity of 2677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Georgia does not have a capacity construction subsidy. However, the Investment Tax Credit, a similar program for solar power, covers 30% of system costs through 2019, with declining amounts thereafter.//**Solar PV: **Georgia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**Georgia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Georgia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**Georgia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**Georgia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Georgia.</v>
      </c>
      <c r="L9" s="143" t="str">
        <f>J9&amp;K9</f>
        <v>**Description:** This policy prevents new capacity of the selected type(s) from being built or deployed.  // **Guidance for setting values:** No new coal is planned in Georgia.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Georgia will retire 2650 MW of coal by 2050. Georgia currently has 8416 MW of coal capacity.</v>
      </c>
      <c r="L12" s="78" t="str">
        <f>J12&amp;K12&amp;M12&amp;N12&amp;O12&amp;P12</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GA will retire 0 MW of natural gas by 2050. GA currently has 8010 MW of natural gas non-peaker capacity.</v>
      </c>
      <c r="N12" t="str">
        <f>_xlfn.CONCAT("//**Nuclear:** The EIA projects that ", About!B2, " will retire ", 'Supporting Data'!$O$3, " MW of nuclear by 2050. ", About!B2, " currently has ",'Supporting Data'!$V$3, " MW of nuclear capacity." )</f>
        <v>//**Nuclear:** The EIA projects that GA will retire 0 MW of nuclear by 2050. GA currently has 4061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GA will retire 0 MW of natural gas by 2050. GA currently has 8439 MW of natural gas peaker capacity.</v>
      </c>
      <c r="P12" t="str">
        <f>_xlfn.CONCAT("//**Lignite:** The EIA projects that ", About!B2, " will retire ", 'Supporting Data'!$S$3, " MW of lignite by 2050. ", About!B2, " currently has ",'Supporting Data'!$AE$3, " MW of lignite capacity." )</f>
        <v>//**Lignite:** The EIA projects that GA will retire 0 MW of lignite by 2050. GA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Georgia</v>
      </c>
      <c r="B3" s="182">
        <f>ROUND(SUMIFS(B$4:B$54, $A$4:$A$54, $A$3),0)</f>
        <v>122036</v>
      </c>
      <c r="C3" s="183">
        <f t="shared" ref="C3" si="0">ROUND(SUMIFS(C$4:C$54, $A$4:$A$54, $A$3),0)</f>
        <v>122</v>
      </c>
      <c r="D3" s="182">
        <f>SUMIFS(D$4:D$54, $A$4:$A$54, $A$3)</f>
        <v>14025574</v>
      </c>
      <c r="E3" s="182">
        <f>SUMIFS(E$4:E$54, $A$4:$A$54, $A$3)</f>
        <v>25641905.999999981</v>
      </c>
      <c r="F3" s="134">
        <f>ROUND(SUMIFS(F$4:F$54,$A$4:$A$54,$A$3)*100,0)</f>
        <v>83</v>
      </c>
      <c r="G3" s="58">
        <f>SUMIFS(G$4:G$54, $A$4:$A$54, $A$3)</f>
        <v>0</v>
      </c>
      <c r="H3" s="58">
        <f>SUMIFS(H$4:H$54, $A$4:$A$54, $A$3)</f>
        <v>0</v>
      </c>
      <c r="I3" s="134">
        <f>ROUND(SUMIFS(I$4:I$54,$A$4:$A$54,$A$3)*100,0)</f>
        <v>0</v>
      </c>
      <c r="J3" s="134">
        <f>ROUND(SUMIFS(J$4:J$54, $A$4:$A$54, $A$3),0)</f>
        <v>5597</v>
      </c>
      <c r="K3" s="58">
        <f t="shared" ref="K3:AI3" si="1">ROUND(SUMIFS(K$4:K$54, $A$4:$A$54, $A$3),0)</f>
        <v>2037</v>
      </c>
      <c r="L3" s="134">
        <f t="shared" si="1"/>
        <v>2677</v>
      </c>
      <c r="M3" s="58">
        <f t="shared" si="1"/>
        <v>2650</v>
      </c>
      <c r="N3" s="58">
        <f t="shared" si="1"/>
        <v>0</v>
      </c>
      <c r="O3" s="58">
        <f t="shared" si="1"/>
        <v>0</v>
      </c>
      <c r="P3" s="58">
        <f t="shared" si="1"/>
        <v>0</v>
      </c>
      <c r="Q3" s="58">
        <f t="shared" si="1"/>
        <v>0</v>
      </c>
      <c r="R3" s="58">
        <f t="shared" si="1"/>
        <v>0</v>
      </c>
      <c r="S3" s="134">
        <f t="shared" si="1"/>
        <v>0</v>
      </c>
      <c r="T3" s="58">
        <f t="shared" si="1"/>
        <v>8416</v>
      </c>
      <c r="U3" s="58">
        <f t="shared" si="1"/>
        <v>8010</v>
      </c>
      <c r="V3" s="58">
        <f t="shared" si="1"/>
        <v>4061</v>
      </c>
      <c r="W3" s="58">
        <f t="shared" si="1"/>
        <v>2026</v>
      </c>
      <c r="X3" s="58">
        <f t="shared" si="1"/>
        <v>0</v>
      </c>
      <c r="Y3" s="58">
        <f t="shared" si="1"/>
        <v>1510</v>
      </c>
      <c r="Z3" s="58">
        <f t="shared" si="1"/>
        <v>0</v>
      </c>
      <c r="AA3" s="58">
        <f t="shared" si="1"/>
        <v>289</v>
      </c>
      <c r="AB3" s="58">
        <f t="shared" si="1"/>
        <v>0</v>
      </c>
      <c r="AC3" s="58">
        <f t="shared" si="1"/>
        <v>852</v>
      </c>
      <c r="AD3" s="58">
        <f t="shared" si="1"/>
        <v>8439</v>
      </c>
      <c r="AE3" s="58">
        <f t="shared" si="1"/>
        <v>0</v>
      </c>
      <c r="AF3" s="58">
        <f t="shared" si="1"/>
        <v>0</v>
      </c>
      <c r="AG3" s="58">
        <f t="shared" si="1"/>
        <v>0</v>
      </c>
      <c r="AH3" s="58">
        <f t="shared" si="1"/>
        <v>0</v>
      </c>
      <c r="AI3" s="134">
        <f t="shared" si="1"/>
        <v>0</v>
      </c>
      <c r="AJ3" s="58">
        <f>ROUND(SUMIFS(AJ$4:AJ$54,$A$4:$A$54,$A$3)*100,0)</f>
        <v>30</v>
      </c>
      <c r="AK3" s="58">
        <f t="shared" ref="AK3:AL3" si="2">ROUND(SUMIFS(AK$4:AK$54,$A$4:$A$54,$A$3)*100,0)</f>
        <v>30</v>
      </c>
      <c r="AL3" s="58">
        <f t="shared" si="2"/>
        <v>30</v>
      </c>
      <c r="AM3" s="58">
        <f>SUMIFS(AM$4:AM$54, $A$4:$A$54, $A$3)</f>
        <v>0</v>
      </c>
      <c r="AN3" s="58">
        <f t="shared" ref="AN3:AQ3" si="3">SUMIFS(AN$4:AN$54, $A$4:$A$54, $A$3)</f>
        <v>0</v>
      </c>
      <c r="AO3" s="134">
        <f t="shared" si="3"/>
        <v>0</v>
      </c>
      <c r="AP3" s="134">
        <f t="shared" si="3"/>
        <v>3754</v>
      </c>
      <c r="AQ3" s="134">
        <f t="shared" si="3"/>
        <v>11145304</v>
      </c>
      <c r="AR3" s="134">
        <f>ROUND(SUMIFS(AR$4:AR$54,$A$4:$A$54,$A$3),2)</f>
        <v>33.68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8</v>
      </c>
      <c r="BR3" s="134">
        <f t="shared" si="6"/>
        <v>9</v>
      </c>
      <c r="BS3" s="134">
        <f>ROUND(SUMIFS(BS$4:BS$54,$A$4:$A$54,$A$3)*100,0)</f>
        <v>58</v>
      </c>
      <c r="BT3" s="134">
        <f>ROUND(SUMIFS(BT$4:BT$54,$A$4:$A$54,$A$3)*100,0)</f>
        <v>55</v>
      </c>
      <c r="BU3" s="134">
        <f t="shared" ref="BU3:CH3" si="7">ROUND(SUMIFS(BU$4:BU$54,$A$4:$A$54,$A$3)*100,0)</f>
        <v>69</v>
      </c>
      <c r="BV3" s="134">
        <f t="shared" si="7"/>
        <v>78</v>
      </c>
      <c r="BW3" s="134">
        <f t="shared" si="7"/>
        <v>22</v>
      </c>
      <c r="BX3" s="134">
        <f t="shared" si="7"/>
        <v>28</v>
      </c>
      <c r="BY3" s="134">
        <f t="shared" si="7"/>
        <v>54</v>
      </c>
      <c r="BZ3" s="134">
        <f>ROUND(SUMIFS(BZ$4:BZ$54,$A$4:$A$54,$A$3)*100,0)</f>
        <v>53</v>
      </c>
      <c r="CA3" s="134">
        <f>ROUND(SUMIFS(CA$4:CA$54,$A$4:$A$54,$A$3)*100,0)</f>
        <v>100</v>
      </c>
      <c r="CB3" s="134">
        <f>ROUND(SUMIFS(CB$4:CB$54,$A$4:$A$54,$A$3)*100,0)</f>
        <v>100</v>
      </c>
      <c r="CC3" s="134">
        <f t="shared" si="7"/>
        <v>22</v>
      </c>
      <c r="CD3" s="134">
        <f t="shared" si="7"/>
        <v>28</v>
      </c>
      <c r="CE3" s="134">
        <f t="shared" si="7"/>
        <v>54</v>
      </c>
      <c r="CF3" s="134">
        <f t="shared" si="7"/>
        <v>53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Georgia.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Georgia.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Georgia.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Georgia.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Georgia.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Georgia.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Georgia.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Georgia.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Georgia.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Georgia.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Georgia.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Georgia.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Georgia.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Georgia.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Georgia.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Georgia.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Georgia.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Georgia.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Georgia.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Georgia.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Georgia.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Georgia.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Georgia.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Georgia.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Georgia, a 100% setting provides for an additional  5597 MW of demand response capacity in 2050 (on top of a BAU quantity of 2677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GA</v>
      </c>
      <c r="C1" s="115">
        <f>SUM(C4:C87)</f>
        <v>141.34278943717348</v>
      </c>
      <c r="D1" s="115">
        <f t="shared" ref="D1:AG1" si="0">SUM(D4:D87)</f>
        <v>132.85220642947326</v>
      </c>
      <c r="E1" s="115">
        <f t="shared" si="0"/>
        <v>132.17540063751986</v>
      </c>
      <c r="F1" s="115">
        <f t="shared" si="0"/>
        <v>142.04527510274397</v>
      </c>
      <c r="G1" s="115">
        <f t="shared" si="0"/>
        <v>145.79593156247645</v>
      </c>
      <c r="H1" s="115">
        <f t="shared" si="0"/>
        <v>154.58045044460883</v>
      </c>
      <c r="I1" s="115">
        <f t="shared" si="0"/>
        <v>157.59213814689448</v>
      </c>
      <c r="J1" s="115">
        <f t="shared" si="0"/>
        <v>160.35265347162036</v>
      </c>
      <c r="K1" s="115">
        <f t="shared" si="0"/>
        <v>162.86129455224648</v>
      </c>
      <c r="L1" s="115">
        <f t="shared" si="0"/>
        <v>165.76880406873821</v>
      </c>
      <c r="M1" s="115">
        <f t="shared" si="0"/>
        <v>174.69911214902169</v>
      </c>
      <c r="N1" s="115">
        <f t="shared" si="0"/>
        <v>167.1079151249244</v>
      </c>
      <c r="O1" s="115">
        <f t="shared" si="0"/>
        <v>173.03311948684592</v>
      </c>
      <c r="P1" s="115">
        <f t="shared" si="0"/>
        <v>175.73524361490971</v>
      </c>
      <c r="Q1" s="115">
        <f t="shared" si="0"/>
        <v>178.9353569276301</v>
      </c>
      <c r="R1" s="115">
        <f t="shared" si="0"/>
        <v>189.86094603735469</v>
      </c>
      <c r="S1" s="115">
        <f t="shared" si="0"/>
        <v>186.03428213324992</v>
      </c>
      <c r="T1" s="115">
        <f t="shared" si="0"/>
        <v>189.31530414608369</v>
      </c>
      <c r="U1" s="115">
        <f t="shared" si="0"/>
        <v>177.45604632612421</v>
      </c>
      <c r="V1" s="115">
        <f t="shared" si="0"/>
        <v>166.2332578732825</v>
      </c>
      <c r="W1" s="115">
        <f t="shared" si="0"/>
        <v>175.98570558167523</v>
      </c>
      <c r="X1" s="115">
        <f t="shared" si="0"/>
        <v>159.20706865979469</v>
      </c>
      <c r="Y1" s="115">
        <f t="shared" si="0"/>
        <v>143.67463874145884</v>
      </c>
      <c r="Z1" s="115">
        <f t="shared" si="0"/>
        <v>145.00453520238796</v>
      </c>
      <c r="AA1" s="115">
        <f t="shared" si="0"/>
        <v>150.76120390240243</v>
      </c>
      <c r="AB1" s="115">
        <f t="shared" si="0"/>
        <v>150.21776981190763</v>
      </c>
      <c r="AC1" s="115">
        <f t="shared" si="0"/>
        <v>149.12923863180083</v>
      </c>
      <c r="AD1" s="115">
        <f t="shared" si="0"/>
        <v>146.67130176430655</v>
      </c>
      <c r="AE1" s="115">
        <f t="shared" si="0"/>
        <v>147.60053787379033</v>
      </c>
      <c r="AF1" s="115">
        <f t="shared" si="0"/>
        <v>142.67818420380809</v>
      </c>
      <c r="AG1" s="115">
        <f t="shared" si="0"/>
        <v>123.46960012528679</v>
      </c>
      <c r="AH1" s="115">
        <f>SUM(AH4:AH87)</f>
        <v>131.58006954991319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25">
      <c r="A5" s="119" t="s">
        <v>479</v>
      </c>
      <c r="B5" s="120" t="s">
        <v>1957</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25">
      <c r="A6" s="119" t="s">
        <v>479</v>
      </c>
      <c r="B6" s="120" t="s">
        <v>1958</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25">
      <c r="A7" s="119" t="s">
        <v>479</v>
      </c>
      <c r="B7" s="120" t="s">
        <v>1959</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25">
      <c r="A8" s="119" t="s">
        <v>479</v>
      </c>
      <c r="B8" s="120" t="s">
        <v>1960</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25">
      <c r="A9" s="119" t="s">
        <v>479</v>
      </c>
      <c r="B9" s="120" t="s">
        <v>1961</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25">
      <c r="A10" s="119" t="s">
        <v>479</v>
      </c>
      <c r="B10" s="120" t="s">
        <v>1962</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25">
      <c r="A11" s="119" t="s">
        <v>479</v>
      </c>
      <c r="B11" s="120" t="s">
        <v>1963</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25">
      <c r="A14" s="119" t="s">
        <v>479</v>
      </c>
      <c r="B14" s="120" t="s">
        <v>1966</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25">
      <c r="A17" s="119" t="s">
        <v>479</v>
      </c>
      <c r="B17" s="120" t="s">
        <v>1969</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0.1122474408898</v>
      </c>
      <c r="D18" s="121">
        <f>SUMIFS('EPA Export Aggregation'!G:G,'EPA Export Aggregation'!$A:$A,$B18,'EPA Export Aggregation'!$D:$D,$A$1)*IF($A18="CH4",About!$D$58,IF($A18="N2O",About!$D$59,1))</f>
        <v>9.7103155751300005E-2</v>
      </c>
      <c r="E18" s="121">
        <f>SUMIFS('EPA Export Aggregation'!H:H,'EPA Export Aggregation'!$A:$A,$B18,'EPA Export Aggregation'!$D:$D,$A$1)*IF($A18="CH4",About!$D$58,IF($A18="N2O",About!$D$59,1))</f>
        <v>0.1058103703704</v>
      </c>
      <c r="F18" s="121">
        <f>SUMIFS('EPA Export Aggregation'!I:I,'EPA Export Aggregation'!$A:$A,$B18,'EPA Export Aggregation'!$D:$D,$A$1)*IF($A18="CH4",About!$D$58,IF($A18="N2O",About!$D$59,1))</f>
        <v>0.1046929578482</v>
      </c>
      <c r="G18" s="121">
        <f>SUMIFS('EPA Export Aggregation'!J:J,'EPA Export Aggregation'!$A:$A,$B18,'EPA Export Aggregation'!$D:$D,$A$1)*IF($A18="CH4",About!$D$58,IF($A18="N2O",About!$D$59,1))</f>
        <v>0.1128156873364</v>
      </c>
      <c r="H18" s="121">
        <f>SUMIFS('EPA Export Aggregation'!K:K,'EPA Export Aggregation'!$A:$A,$B18,'EPA Export Aggregation'!$D:$D,$A$1)*IF($A18="CH4",About!$D$58,IF($A18="N2O",About!$D$59,1))</f>
        <v>0.1128156873364</v>
      </c>
      <c r="I18" s="121">
        <f>SUMIFS('EPA Export Aggregation'!L:L,'EPA Export Aggregation'!$A:$A,$B18,'EPA Export Aggregation'!$D:$D,$A$1)*IF($A18="CH4",About!$D$58,IF($A18="N2O",About!$D$59,1))</f>
        <v>9.88818582709E-2</v>
      </c>
      <c r="J18" s="121">
        <f>SUMIFS('EPA Export Aggregation'!M:M,'EPA Export Aggregation'!$A:$A,$B18,'EPA Export Aggregation'!$D:$D,$A$1)*IF($A18="CH4",About!$D$58,IF($A18="N2O",About!$D$59,1))</f>
        <v>0.1095750661912</v>
      </c>
      <c r="K18" s="121">
        <f>SUMIFS('EPA Export Aggregation'!N:N,'EPA Export Aggregation'!$A:$A,$B18,'EPA Export Aggregation'!$D:$D,$A$1)*IF($A18="CH4",About!$D$58,IF($A18="N2O",About!$D$59,1))</f>
        <v>0.1114640549828</v>
      </c>
      <c r="L18" s="121">
        <f>SUMIFS('EPA Export Aggregation'!O:O,'EPA Export Aggregation'!$A:$A,$B18,'EPA Export Aggregation'!$D:$D,$A$1)*IF($A18="CH4",About!$D$58,IF($A18="N2O",About!$D$59,1))</f>
        <v>0.1080371494607</v>
      </c>
      <c r="M18" s="121">
        <f>SUMIFS('EPA Export Aggregation'!P:P,'EPA Export Aggregation'!$A:$A,$B18,'EPA Export Aggregation'!$D:$D,$A$1)*IF($A18="CH4",About!$D$58,IF($A18="N2O",About!$D$59,1))</f>
        <v>0.118944042317</v>
      </c>
      <c r="N18" s="121">
        <f>SUMIFS('EPA Export Aggregation'!Q:Q,'EPA Export Aggregation'!$A:$A,$B18,'EPA Export Aggregation'!$D:$D,$A$1)*IF($A18="CH4",About!$D$58,IF($A18="N2O",About!$D$59,1))</f>
        <v>0.1020546195269</v>
      </c>
      <c r="O18" s="121">
        <f>SUMIFS('EPA Export Aggregation'!R:R,'EPA Export Aggregation'!$A:$A,$B18,'EPA Export Aggregation'!$D:$D,$A$1)*IF($A18="CH4",About!$D$58,IF($A18="N2O",About!$D$59,1))</f>
        <v>0.10971514309909999</v>
      </c>
      <c r="P18" s="121">
        <f>SUMIFS('EPA Export Aggregation'!S:S,'EPA Export Aggregation'!$A:$A,$B18,'EPA Export Aggregation'!$D:$D,$A$1)*IF($A18="CH4",About!$D$58,IF($A18="N2O",About!$D$59,1))</f>
        <v>0.12976317420950001</v>
      </c>
      <c r="Q18" s="121">
        <f>SUMIFS('EPA Export Aggregation'!T:T,'EPA Export Aggregation'!$A:$A,$B18,'EPA Export Aggregation'!$D:$D,$A$1)*IF($A18="CH4",About!$D$58,IF($A18="N2O",About!$D$59,1))</f>
        <v>0.1437593413553</v>
      </c>
      <c r="R18" s="121">
        <f>SUMIFS('EPA Export Aggregation'!U:U,'EPA Export Aggregation'!$A:$A,$B18,'EPA Export Aggregation'!$D:$D,$A$1)*IF($A18="CH4",About!$D$58,IF($A18="N2O",About!$D$59,1))</f>
        <v>0.13002962962959999</v>
      </c>
      <c r="S18" s="121">
        <f>SUMIFS('EPA Export Aggregation'!V:V,'EPA Export Aggregation'!$A:$A,$B18,'EPA Export Aggregation'!$D:$D,$A$1)*IF($A18="CH4",About!$D$58,IF($A18="N2O",About!$D$59,1))</f>
        <v>0.1242695384615</v>
      </c>
      <c r="T18" s="121">
        <f>SUMIFS('EPA Export Aggregation'!W:W,'EPA Export Aggregation'!$A:$A,$B18,'EPA Export Aggregation'!$D:$D,$A$1)*IF($A18="CH4",About!$D$58,IF($A18="N2O",About!$D$59,1))</f>
        <v>0.13061907692310001</v>
      </c>
      <c r="U18" s="121">
        <f>SUMIFS('EPA Export Aggregation'!X:X,'EPA Export Aggregation'!$A:$A,$B18,'EPA Export Aggregation'!$D:$D,$A$1)*IF($A18="CH4",About!$D$58,IF($A18="N2O",About!$D$59,1))</f>
        <v>0.1224553846154</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25">
      <c r="A23" s="119" t="s">
        <v>479</v>
      </c>
      <c r="B23" s="120" t="s">
        <v>1975</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1.6846657607699999E-2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2.4824799999999998E-6</v>
      </c>
      <c r="V76" s="121">
        <f>SUMIFS('EPA Export Aggregation'!Y:Y,'EPA Export Aggregation'!$A:$A,$B76,'EPA Export Aggregation'!$D:$D,$A$1)*IF($A76="CH4",About!$D$58,IF($A76="N2O",About!$D$59,1))</f>
        <v>3.4755960000000001E-5</v>
      </c>
      <c r="W76" s="121">
        <f>SUMIFS('EPA Export Aggregation'!Z:Z,'EPA Export Aggregation'!$A:$A,$B76,'EPA Export Aggregation'!$D:$D,$A$1)*IF($A76="CH4",About!$D$58,IF($A76="N2O",About!$D$59,1))</f>
        <v>3.3558120000000001E-5</v>
      </c>
      <c r="X76" s="121">
        <f>SUMIFS('EPA Export Aggregation'!AA:AA,'EPA Export Aggregation'!$A:$A,$B76,'EPA Export Aggregation'!$D:$D,$A$1)*IF($A76="CH4",About!$D$58,IF($A76="N2O",About!$D$59,1))</f>
        <v>5.3251043E-5</v>
      </c>
      <c r="Y76" s="121">
        <f>SUMIFS('EPA Export Aggregation'!AB:AB,'EPA Export Aggregation'!$A:$A,$B76,'EPA Export Aggregation'!$D:$D,$A$1)*IF($A76="CH4",About!$D$58,IF($A76="N2O",About!$D$59,1))</f>
        <v>5.4002047600000001E-5</v>
      </c>
      <c r="Z76" s="121">
        <f>SUMIFS('EPA Export Aggregation'!AC:AC,'EPA Export Aggregation'!$A:$A,$B76,'EPA Export Aggregation'!$D:$D,$A$1)*IF($A76="CH4",About!$D$58,IF($A76="N2O",About!$D$59,1))</f>
        <v>3.2052961700000001E-5</v>
      </c>
      <c r="AA76" s="121">
        <f>SUMIFS('EPA Export Aggregation'!AD:AD,'EPA Export Aggregation'!$A:$A,$B76,'EPA Export Aggregation'!$D:$D,$A$1)*IF($A76="CH4",About!$D$58,IF($A76="N2O",About!$D$59,1))</f>
        <v>3.2342782400000002E-5</v>
      </c>
      <c r="AB76" s="121">
        <f>SUMIFS('EPA Export Aggregation'!AE:AE,'EPA Export Aggregation'!$A:$A,$B76,'EPA Export Aggregation'!$D:$D,$A$1)*IF($A76="CH4",About!$D$58,IF($A76="N2O",About!$D$59,1))</f>
        <v>2.3023182499999999E-5</v>
      </c>
      <c r="AC76" s="121">
        <f>SUMIFS('EPA Export Aggregation'!AF:AF,'EPA Export Aggregation'!$A:$A,$B76,'EPA Export Aggregation'!$D:$D,$A$1)*IF($A76="CH4",About!$D$58,IF($A76="N2O",About!$D$59,1))</f>
        <v>2.3041794099999999E-5</v>
      </c>
      <c r="AD76" s="121">
        <f>SUMIFS('EPA Export Aggregation'!AG:AG,'EPA Export Aggregation'!$A:$A,$B76,'EPA Export Aggregation'!$D:$D,$A$1)*IF($A76="CH4",About!$D$58,IF($A76="N2O",About!$D$59,1))</f>
        <v>3.1731702500000003E-5</v>
      </c>
      <c r="AE76" s="121">
        <f>SUMIFS('EPA Export Aggregation'!AH:AH,'EPA Export Aggregation'!$A:$A,$B76,'EPA Export Aggregation'!$D:$D,$A$1)*IF($A76="CH4",About!$D$58,IF($A76="N2O",About!$D$59,1))</f>
        <v>3.1685834099999999E-5</v>
      </c>
      <c r="AF76" s="121">
        <f>SUMIFS('EPA Export Aggregation'!AI:AI,'EPA Export Aggregation'!$A:$A,$B76,'EPA Export Aggregation'!$D:$D,$A$1)*IF($A76="CH4",About!$D$58,IF($A76="N2O",About!$D$59,1))</f>
        <v>3.1648622499999999E-5</v>
      </c>
      <c r="AG76" s="121">
        <f>SUMIFS('EPA Export Aggregation'!AJ:AJ,'EPA Export Aggregation'!$A:$A,$B76,'EPA Export Aggregation'!$D:$D,$A$1)*IF($A76="CH4",About!$D$58,IF($A76="N2O",About!$D$59,1))</f>
        <v>6.4814915999999997E-6</v>
      </c>
      <c r="AH76" s="121">
        <f>SUMIFS('EPA Export Aggregation'!AK:AK,'EPA Export Aggregation'!$A:$A,$B76,'EPA Export Aggregation'!$D:$D,$A$1)*IF($A76="CH4",About!$D$58,IF($A76="N2O",About!$D$59,1))</f>
        <v>6.5051308999999996E-6</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9.4504179000000005E-5</v>
      </c>
      <c r="V80" s="121">
        <f>SUMIFS('EPA Export Aggregation'!Y:Y,'EPA Export Aggregation'!$A:$A,$B80,'EPA Export Aggregation'!$D:$D,$A$1)*IF($A80="CH4",About!$D$58,IF($A80="N2O",About!$D$59,1))</f>
        <v>1.323049914E-3</v>
      </c>
      <c r="W80" s="121">
        <f>SUMIFS('EPA Export Aggregation'!Z:Z,'EPA Export Aggregation'!$A:$A,$B80,'EPA Export Aggregation'!$D:$D,$A$1)*IF($A80="CH4",About!$D$58,IF($A80="N2O",About!$D$59,1))</f>
        <v>1.277467488E-3</v>
      </c>
      <c r="X80" s="121">
        <f>SUMIFS('EPA Export Aggregation'!AA:AA,'EPA Export Aggregation'!$A:$A,$B80,'EPA Export Aggregation'!$D:$D,$A$1)*IF($A80="CH4",About!$D$58,IF($A80="N2O",About!$D$59,1))</f>
        <v>1.2039799226158999E-3</v>
      </c>
      <c r="Y80" s="121">
        <f>SUMIFS('EPA Export Aggregation'!AB:AB,'EPA Export Aggregation'!$A:$A,$B80,'EPA Export Aggregation'!$D:$D,$A$1)*IF($A80="CH4",About!$D$58,IF($A80="N2O",About!$D$59,1))</f>
        <v>1.1580115690177E-3</v>
      </c>
      <c r="Z80" s="121">
        <f>SUMIFS('EPA Export Aggregation'!AC:AC,'EPA Export Aggregation'!$A:$A,$B80,'EPA Export Aggregation'!$D:$D,$A$1)*IF($A80="CH4",About!$D$58,IF($A80="N2O",About!$D$59,1))</f>
        <v>1.1959715400214001E-3</v>
      </c>
      <c r="AA80" s="121">
        <f>SUMIFS('EPA Export Aggregation'!AD:AD,'EPA Export Aggregation'!$A:$A,$B80,'EPA Export Aggregation'!$D:$D,$A$1)*IF($A80="CH4",About!$D$58,IF($A80="N2O",About!$D$59,1))</f>
        <v>1.2185453078042E-3</v>
      </c>
      <c r="AB80" s="121">
        <f>SUMIFS('EPA Export Aggregation'!AE:AE,'EPA Export Aggregation'!$A:$A,$B80,'EPA Export Aggregation'!$D:$D,$A$1)*IF($A80="CH4",About!$D$58,IF($A80="N2O",About!$D$59,1))</f>
        <v>8.6180018760060001E-4</v>
      </c>
      <c r="AC80" s="121">
        <f>SUMIFS('EPA Export Aggregation'!AF:AF,'EPA Export Aggregation'!$A:$A,$B80,'EPA Export Aggregation'!$D:$D,$A$1)*IF($A80="CH4",About!$D$58,IF($A80="N2O",About!$D$59,1))</f>
        <v>8.6110542240029999E-4</v>
      </c>
      <c r="AD80" s="121">
        <f>SUMIFS('EPA Export Aggregation'!AG:AG,'EPA Export Aggregation'!$A:$A,$B80,'EPA Export Aggregation'!$D:$D,$A$1)*IF($A80="CH4",About!$D$58,IF($A80="N2O",About!$D$59,1))</f>
        <v>1.1927864978003E-3</v>
      </c>
      <c r="AE80" s="121">
        <f>SUMIFS('EPA Export Aggregation'!AH:AH,'EPA Export Aggregation'!$A:$A,$B80,'EPA Export Aggregation'!$D:$D,$A$1)*IF($A80="CH4",About!$D$58,IF($A80="N2O",About!$D$59,1))</f>
        <v>1.1924690834002999E-3</v>
      </c>
      <c r="AF80" s="121">
        <f>SUMIFS('EPA Export Aggregation'!AI:AI,'EPA Export Aggregation'!$A:$A,$B80,'EPA Export Aggregation'!$D:$D,$A$1)*IF($A80="CH4",About!$D$58,IF($A80="N2O",About!$D$59,1))</f>
        <v>1.1919686083999999E-3</v>
      </c>
      <c r="AG80" s="121">
        <f>SUMIFS('EPA Export Aggregation'!AJ:AJ,'EPA Export Aggregation'!$A:$A,$B80,'EPA Export Aggregation'!$D:$D,$A$1)*IF($A80="CH4",About!$D$58,IF($A80="N2O",About!$D$59,1))</f>
        <v>2.3444736480030001E-4</v>
      </c>
      <c r="AH80" s="121">
        <f>SUMIFS('EPA Export Aggregation'!AK:AK,'EPA Export Aggregation'!$A:$A,$B80,'EPA Export Aggregation'!$D:$D,$A$1)*IF($A80="CH4",About!$D$58,IF($A80="N2O",About!$D$59,1))</f>
        <v>2.3457357480029999E-4</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2.04215E-6</v>
      </c>
      <c r="Y84" s="121">
        <f>SUMIFS('EPA Export Aggregation'!AB:AB,'EPA Export Aggregation'!$A:$A,$B84,'EPA Export Aggregation'!$D:$D,$A$1)*IF($A84="CH4",About!$D$58,IF($A84="N2O",About!$D$59,1))</f>
        <v>2.1502499999999999E-6</v>
      </c>
      <c r="Z84" s="121">
        <f>SUMIFS('EPA Export Aggregation'!AC:AC,'EPA Export Aggregation'!$A:$A,$B84,'EPA Export Aggregation'!$D:$D,$A$1)*IF($A84="CH4",About!$D$58,IF($A84="N2O",About!$D$59,1))</f>
        <v>2.4886499999999999E-6</v>
      </c>
      <c r="AA84" s="121">
        <f>SUMIFS('EPA Export Aggregation'!AD:AD,'EPA Export Aggregation'!$A:$A,$B84,'EPA Export Aggregation'!$D:$D,$A$1)*IF($A84="CH4",About!$D$58,IF($A84="N2O",About!$D$59,1))</f>
        <v>1.3347999999999999E-6</v>
      </c>
      <c r="AB84" s="121">
        <f>SUMIFS('EPA Export Aggregation'!AE:AE,'EPA Export Aggregation'!$A:$A,$B84,'EPA Export Aggregation'!$D:$D,$A$1)*IF($A84="CH4",About!$D$58,IF($A84="N2O",About!$D$59,1))</f>
        <v>1.6708500000000001E-6</v>
      </c>
      <c r="AC84" s="121">
        <f>SUMIFS('EPA Export Aggregation'!AF:AF,'EPA Export Aggregation'!$A:$A,$B84,'EPA Export Aggregation'!$D:$D,$A$1)*IF($A84="CH4",About!$D$58,IF($A84="N2O",About!$D$59,1))</f>
        <v>2.1032500000000001E-6</v>
      </c>
      <c r="AD84" s="121">
        <f>SUMIFS('EPA Export Aggregation'!AG:AG,'EPA Export Aggregation'!$A:$A,$B84,'EPA Export Aggregation'!$D:$D,$A$1)*IF($A84="CH4",About!$D$58,IF($A84="N2O",About!$D$59,1))</f>
        <v>1.7672E-6</v>
      </c>
      <c r="AE84" s="121">
        <f>SUMIFS('EPA Export Aggregation'!AH:AH,'EPA Export Aggregation'!$A:$A,$B84,'EPA Export Aggregation'!$D:$D,$A$1)*IF($A84="CH4",About!$D$58,IF($A84="N2O",About!$D$59,1))</f>
        <v>1.8000999999999999E-6</v>
      </c>
      <c r="AF84" s="121">
        <f>SUMIFS('EPA Export Aggregation'!AI:AI,'EPA Export Aggregation'!$A:$A,$B84,'EPA Export Aggregation'!$D:$D,$A$1)*IF($A84="CH4",About!$D$58,IF($A84="N2O",About!$D$59,1))</f>
        <v>1.9081999999999998E-6</v>
      </c>
      <c r="AG84" s="121">
        <f>SUMIFS('EPA Export Aggregation'!AJ:AJ,'EPA Export Aggregation'!$A:$A,$B84,'EPA Export Aggregation'!$D:$D,$A$1)*IF($A84="CH4",About!$D$58,IF($A84="N2O",About!$D$59,1))</f>
        <v>1.9317000000000001E-6</v>
      </c>
      <c r="AH84" s="121">
        <f>SUMIFS('EPA Export Aggregation'!AK:AK,'EPA Export Aggregation'!$A:$A,$B84,'EPA Export Aggregation'!$D:$D,$A$1)*IF($A84="CH4",About!$D$58,IF($A84="N2O",About!$D$59,1))</f>
        <v>2.3688000000000001E-6</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2025-11-06T21:34:53Z</dcterms:modified>
</cp:coreProperties>
</file>