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filterPrivacy="1"/>
  <xr:revisionPtr revIDLastSave="0" documentId="13_ncr:1_{A24B1BF4-607D-4EB1-8A00-391E3B45CBDE}" xr6:coauthVersionLast="47" xr6:coauthVersionMax="47" xr10:uidLastSave="{00000000-0000-0000-0000-000000000000}"/>
  <bookViews>
    <workbookView xWindow="-110" yWindow="-110" windowWidth="19420" windowHeight="10420" tabRatio="818" firstSheet="40" activeTab="43" xr2:uid="{00000000-000D-0000-FFFF-FFFF00000000}"/>
  </bookViews>
  <sheets>
    <sheet name="About" sheetId="9" r:id="rId1"/>
    <sheet name="Note" sheetId="11" r:id="rId2"/>
    <sheet name="InternalLink" sheetId="19" state="hidden" r:id="rId3"/>
    <sheet name="Household_Histo" sheetId="17" state="hidden" r:id="rId4"/>
    <sheet name="Household_Pred" sheetId="16" state="hidden" r:id="rId5"/>
    <sheet name="History Type Share" sheetId="2" r:id="rId6"/>
    <sheet name="Commercial8Fuel" sheetId="3" r:id="rId7"/>
    <sheet name="Residential8EndUse" sheetId="4" r:id="rId8"/>
    <sheet name="Energy8Sec" sheetId="1" r:id="rId9"/>
    <sheet name="Private,Public8EndUse" sheetId="50" r:id="rId10"/>
    <sheet name="Commercial8EndUse" sheetId="5" r:id="rId11"/>
    <sheet name="FloorAreaPer" sheetId="21" state="hidden" r:id="rId12"/>
    <sheet name="DataSum" sheetId="12" state="hidden" r:id="rId13"/>
    <sheet name="Building" sheetId="52" r:id="rId14"/>
    <sheet name="Future Total Energy" sheetId="14" r:id="rId15"/>
    <sheet name="FittingHH" sheetId="28" state="hidden" r:id="rId16"/>
    <sheet name="BTU Conversion Factor" sheetId="13" r:id="rId17"/>
    <sheet name="Future Type Share" sheetId="10" r:id="rId18"/>
    <sheet name="Future EndUse Share" sheetId="20" r:id="rId19"/>
    <sheet name="Commercial_1" sheetId="22" r:id="rId20"/>
    <sheet name="Commercial_2" sheetId="27" r:id="rId21"/>
    <sheet name="Commercial_Final" sheetId="26" r:id="rId22"/>
    <sheet name="Private_1" sheetId="23" r:id="rId23"/>
    <sheet name="Private_2" sheetId="7" r:id="rId24"/>
    <sheet name="Public_1" sheetId="53" r:id="rId25"/>
    <sheet name="Public_2" sheetId="54" r:id="rId26"/>
    <sheet name="Private_Final" sheetId="25" r:id="rId27"/>
    <sheet name="Public_Final" sheetId="55" r:id="rId28"/>
    <sheet name="BCEU-urban-residential-heating" sheetId="35" r:id="rId29"/>
    <sheet name="BCEU-urban-residential-cooling" sheetId="33" r:id="rId30"/>
    <sheet name="BCEU-urban-residential-lighting" sheetId="32" r:id="rId31"/>
    <sheet name="BCEU-urban-residential-appl" sheetId="38" r:id="rId32"/>
    <sheet name="BCEU-urban-residential-other" sheetId="39" r:id="rId33"/>
    <sheet name="BCEU-rural-residential-heating" sheetId="40" r:id="rId34"/>
    <sheet name="BCEU-rural-residential-cooling" sheetId="41" r:id="rId35"/>
    <sheet name="BCEU-rural-residential-lighting" sheetId="42" r:id="rId36"/>
    <sheet name="BCEU-rural-residential-appl" sheetId="43" r:id="rId37"/>
    <sheet name="BCEU-rural-residential-other" sheetId="44" r:id="rId38"/>
    <sheet name="BCEU-commercial-heating" sheetId="45" r:id="rId39"/>
    <sheet name="BCEU-commercial-cooling" sheetId="46" r:id="rId40"/>
    <sheet name="BCEU-commercial-lighting" sheetId="47" r:id="rId41"/>
    <sheet name="BCEU-commercial-appl" sheetId="48" r:id="rId42"/>
    <sheet name="BCEU-commercial-other" sheetId="49" r:id="rId43"/>
    <sheet name="BCEU-all-envelope" sheetId="56" r:id="rId44"/>
  </sheets>
  <externalReferences>
    <externalReference r:id="rId45"/>
    <externalReference r:id="rId46"/>
  </externalReferences>
  <definedNames>
    <definedName name="Average_emission_factor">'[1]Electricity emissions'!$H$38</definedName>
    <definedName name="footnote500011" localSheetId="11">FloorAreaPer!$A$170</definedName>
    <definedName name="_xlnm.Print_Area" localSheetId="13">Building!$A$1:$AN$66</definedName>
    <definedName name="_xlnm.Print_Area" localSheetId="4">Household_Pred!$A$1:$D$27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5" l="1"/>
  <c r="B4" i="35"/>
  <c r="B5" i="35"/>
  <c r="B6" i="35"/>
  <c r="B7" i="35"/>
  <c r="AF9"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15" i="22"/>
  <c r="L9" i="22"/>
  <c r="AE25" i="10"/>
  <c r="AC138" i="20" s="1"/>
  <c r="AC149" i="20"/>
  <c r="AC150" i="20"/>
  <c r="AC151" i="20"/>
  <c r="AC152" i="20"/>
  <c r="AC157" i="20"/>
  <c r="AC158" i="20"/>
  <c r="AC159" i="20"/>
  <c r="AC160" i="20"/>
  <c r="AE23" i="10"/>
  <c r="AC136" i="20" s="1"/>
  <c r="AO138" i="20"/>
  <c r="AC137" i="20"/>
  <c r="AC139" i="20"/>
  <c r="AC140" i="20"/>
  <c r="AC141" i="20"/>
  <c r="AC142" i="20"/>
  <c r="AC143" i="20"/>
  <c r="AC144" i="20"/>
  <c r="AC145" i="20"/>
  <c r="AC146" i="20"/>
  <c r="AC147" i="20"/>
  <c r="AC148" i="20"/>
  <c r="AC153" i="20"/>
  <c r="AC154" i="20"/>
  <c r="AC155" i="20"/>
  <c r="AC156" i="20"/>
  <c r="AC161" i="20"/>
  <c r="AC162" i="20"/>
  <c r="AC163" i="20"/>
  <c r="AC164" i="20"/>
  <c r="AE24" i="10"/>
  <c r="AA27" i="10"/>
  <c r="AD26" i="10"/>
  <c r="AO136" i="20" l="1"/>
  <c r="AO137" i="20"/>
  <c r="AA139" i="20"/>
  <c r="Z139" i="20"/>
  <c r="AB136" i="20"/>
  <c r="AD136" i="20"/>
  <c r="AE136" i="20"/>
  <c r="AB137" i="20"/>
  <c r="AD137" i="20"/>
  <c r="AB138" i="20"/>
  <c r="AD138" i="20"/>
  <c r="AB139" i="20"/>
  <c r="AD139" i="20"/>
  <c r="AB140" i="20"/>
  <c r="AD140" i="20"/>
  <c r="AB141" i="20"/>
  <c r="AD141" i="20"/>
  <c r="AB142" i="20"/>
  <c r="AD142" i="20"/>
  <c r="AB143" i="20"/>
  <c r="AD143" i="20"/>
  <c r="AB144" i="20"/>
  <c r="AD144" i="20"/>
  <c r="AB145" i="20"/>
  <c r="AD145" i="20"/>
  <c r="AB146" i="20"/>
  <c r="AD146" i="20"/>
  <c r="AB147" i="20"/>
  <c r="AD147" i="20"/>
  <c r="AB148" i="20"/>
  <c r="AD148" i="20"/>
  <c r="AB149" i="20"/>
  <c r="AD149" i="20"/>
  <c r="AB150" i="20"/>
  <c r="AD150" i="20"/>
  <c r="AB151" i="20"/>
  <c r="AD151" i="20"/>
  <c r="AB152" i="20"/>
  <c r="AD152" i="20"/>
  <c r="AB153" i="20"/>
  <c r="AD153" i="20"/>
  <c r="AB154" i="20"/>
  <c r="AD154" i="20"/>
  <c r="AB155" i="20"/>
  <c r="AD155" i="20"/>
  <c r="AB156" i="20"/>
  <c r="AD156" i="20"/>
  <c r="AB157" i="20"/>
  <c r="AD157" i="20"/>
  <c r="AB158" i="20"/>
  <c r="AD158" i="20"/>
  <c r="AB159" i="20"/>
  <c r="AD159" i="20"/>
  <c r="AB160" i="20"/>
  <c r="AD160" i="20"/>
  <c r="AB161" i="20"/>
  <c r="AD161" i="20"/>
  <c r="AB162" i="20"/>
  <c r="AD162" i="20"/>
  <c r="AB163" i="20"/>
  <c r="AD163" i="20"/>
  <c r="AB164" i="20"/>
  <c r="AD164" i="20"/>
  <c r="M135" i="20"/>
  <c r="V136"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84" i="20"/>
  <c r="P33" i="20"/>
  <c r="O42" i="20"/>
  <c r="O43" i="20"/>
  <c r="O44" i="20"/>
  <c r="O45" i="20"/>
  <c r="O46" i="20"/>
  <c r="O47" i="20"/>
  <c r="O48" i="20"/>
  <c r="O49" i="20"/>
  <c r="O50" i="20"/>
  <c r="O51" i="20"/>
  <c r="O52" i="20"/>
  <c r="O53" i="20"/>
  <c r="O54" i="20"/>
  <c r="O55" i="20"/>
  <c r="O56" i="20"/>
  <c r="O57" i="20"/>
  <c r="O58" i="20"/>
  <c r="O59" i="20"/>
  <c r="O60" i="20"/>
  <c r="O61" i="20"/>
  <c r="O34" i="20"/>
  <c r="O35" i="20"/>
  <c r="O36" i="20"/>
  <c r="O37" i="20"/>
  <c r="O38" i="20"/>
  <c r="O39" i="20"/>
  <c r="O40" i="20"/>
  <c r="O41" i="20"/>
  <c r="O33" i="20"/>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18" i="14"/>
  <c r="BO20" i="14"/>
  <c r="BO21" i="14"/>
  <c r="BO22" i="14"/>
  <c r="BO23" i="14"/>
  <c r="BO24" i="14"/>
  <c r="BO25" i="14"/>
  <c r="BO26" i="14"/>
  <c r="BO27" i="14"/>
  <c r="BO28" i="14"/>
  <c r="BO29" i="14"/>
  <c r="BO30" i="14"/>
  <c r="BO31" i="14"/>
  <c r="BO32" i="14"/>
  <c r="BO33" i="14"/>
  <c r="BO34" i="14"/>
  <c r="BO35" i="14"/>
  <c r="BO36" i="14"/>
  <c r="BO37" i="14"/>
  <c r="BO38" i="14"/>
  <c r="BO39" i="14"/>
  <c r="BO40" i="14"/>
  <c r="BO41" i="14"/>
  <c r="BO42" i="14"/>
  <c r="BO43" i="14"/>
  <c r="BO44" i="14"/>
  <c r="BO45" i="14"/>
  <c r="BO46" i="14"/>
  <c r="BO47" i="14"/>
  <c r="BO48" i="14"/>
  <c r="BO19" i="14"/>
  <c r="BO18" i="14"/>
  <c r="H41" i="14"/>
  <c r="H42" i="14"/>
  <c r="H43" i="14"/>
  <c r="H44" i="14"/>
  <c r="H45" i="14"/>
  <c r="H46" i="14"/>
  <c r="H47" i="14"/>
  <c r="H19" i="14"/>
  <c r="H20" i="14"/>
  <c r="H21" i="14"/>
  <c r="H22" i="14"/>
  <c r="H23" i="14"/>
  <c r="H24" i="14"/>
  <c r="H25" i="14"/>
  <c r="H26" i="14"/>
  <c r="H27" i="14"/>
  <c r="H28" i="14"/>
  <c r="H29" i="14"/>
  <c r="H30" i="14"/>
  <c r="H31" i="14"/>
  <c r="H32" i="14"/>
  <c r="H33" i="14"/>
  <c r="H34" i="14"/>
  <c r="H35" i="14"/>
  <c r="H36" i="14"/>
  <c r="H37" i="14"/>
  <c r="H38" i="14"/>
  <c r="H39" i="14"/>
  <c r="H40" i="14"/>
  <c r="H18" i="14"/>
  <c r="BJ19" i="14"/>
  <c r="BJ20" i="14"/>
  <c r="BJ21" i="14"/>
  <c r="BJ22" i="14"/>
  <c r="BJ23" i="14"/>
  <c r="BJ24" i="14"/>
  <c r="BJ25" i="14"/>
  <c r="BJ26" i="14"/>
  <c r="BJ27" i="14"/>
  <c r="BJ28" i="14"/>
  <c r="BJ29" i="14"/>
  <c r="BJ30" i="14"/>
  <c r="BJ31" i="14"/>
  <c r="BJ32" i="14"/>
  <c r="BJ33" i="14"/>
  <c r="BJ34" i="14"/>
  <c r="BJ35" i="14"/>
  <c r="BJ36" i="14"/>
  <c r="BJ37" i="14"/>
  <c r="BJ38" i="14"/>
  <c r="BJ39" i="14"/>
  <c r="BJ40" i="14"/>
  <c r="BJ41" i="14"/>
  <c r="BJ42" i="14"/>
  <c r="BJ43" i="14"/>
  <c r="BJ44" i="14"/>
  <c r="BJ45" i="14"/>
  <c r="BJ46" i="14"/>
  <c r="BJ47" i="14"/>
  <c r="BJ48" i="14"/>
  <c r="BJ18" i="14"/>
  <c r="BI20" i="14"/>
  <c r="BI21" i="14"/>
  <c r="BI22" i="14"/>
  <c r="BI23" i="14"/>
  <c r="BI24" i="14"/>
  <c r="BI25" i="14"/>
  <c r="BI26" i="14"/>
  <c r="BI27" i="14"/>
  <c r="BI28" i="14"/>
  <c r="BI29" i="14"/>
  <c r="BI30" i="14"/>
  <c r="BI31" i="14"/>
  <c r="BI32" i="14"/>
  <c r="BI33" i="14"/>
  <c r="BI34" i="14"/>
  <c r="BI35" i="14"/>
  <c r="BI36" i="14"/>
  <c r="BI37" i="14"/>
  <c r="BI38" i="14"/>
  <c r="BI39" i="14"/>
  <c r="BI40" i="14"/>
  <c r="BI41" i="14"/>
  <c r="BI42" i="14"/>
  <c r="BI43" i="14"/>
  <c r="BI44" i="14"/>
  <c r="BI45" i="14"/>
  <c r="BI46" i="14"/>
  <c r="BI47" i="14"/>
  <c r="BI48" i="14"/>
  <c r="BI19" i="14"/>
  <c r="BI18" i="14"/>
  <c r="BC47" i="14"/>
  <c r="BD47" i="14" s="1"/>
  <c r="BE47" i="14" s="1"/>
  <c r="G47" i="14" s="1"/>
  <c r="BC48" i="14"/>
  <c r="BC20" i="14"/>
  <c r="BD20" i="14" s="1"/>
  <c r="BE20" i="14" s="1"/>
  <c r="G20" i="14" s="1"/>
  <c r="BC19" i="14"/>
  <c r="BC18" i="14"/>
  <c r="BD18" i="14" s="1"/>
  <c r="BE18" i="14" s="1"/>
  <c r="G18" i="14" s="1"/>
  <c r="BD48" i="14"/>
  <c r="BE48" i="14" s="1"/>
  <c r="BD19" i="14"/>
  <c r="BE19" i="14" s="1"/>
  <c r="G19" i="14" s="1"/>
  <c r="AY44" i="14" a="1"/>
  <c r="AY44" i="14" s="1"/>
  <c r="AW19" i="14"/>
  <c r="AW18" i="14"/>
  <c r="AV21" i="14"/>
  <c r="AV22" i="14" s="1"/>
  <c r="AX22" i="14" s="1"/>
  <c r="Y136" i="20" l="1"/>
  <c r="AW20" i="14"/>
  <c r="BC22" i="14"/>
  <c r="BD22" i="14" s="1"/>
  <c r="BE22" i="14" s="1"/>
  <c r="G22" i="14" s="1"/>
  <c r="BC21" i="14"/>
  <c r="BD21" i="14" s="1"/>
  <c r="BE21" i="14" s="1"/>
  <c r="G21" i="14" s="1"/>
  <c r="AX21" i="14"/>
  <c r="AV23" i="14"/>
  <c r="AX23" i="14" l="1"/>
  <c r="BC23" i="14"/>
  <c r="BD23" i="14" s="1"/>
  <c r="BE23" i="14" s="1"/>
  <c r="G23" i="14" s="1"/>
  <c r="AV24" i="14"/>
  <c r="BC24" i="14" l="1"/>
  <c r="BD24" i="14" s="1"/>
  <c r="BE24" i="14" s="1"/>
  <c r="G24" i="14" s="1"/>
  <c r="AX24" i="14"/>
  <c r="AV25" i="14"/>
  <c r="BC25" i="14" l="1"/>
  <c r="BD25" i="14" s="1"/>
  <c r="BE25" i="14" s="1"/>
  <c r="G25" i="14" s="1"/>
  <c r="AX25" i="14"/>
  <c r="AV26" i="14"/>
  <c r="BC26" i="14" l="1"/>
  <c r="BD26" i="14" s="1"/>
  <c r="BE26" i="14" s="1"/>
  <c r="G26" i="14" s="1"/>
  <c r="AX26" i="14"/>
  <c r="AV27" i="14"/>
  <c r="BC27" i="14" l="1"/>
  <c r="BD27" i="14" s="1"/>
  <c r="BE27" i="14" s="1"/>
  <c r="G27" i="14" s="1"/>
  <c r="AX27" i="14"/>
  <c r="AV28" i="14"/>
  <c r="AX28" i="14" l="1"/>
  <c r="BC28" i="14"/>
  <c r="BD28" i="14" s="1"/>
  <c r="BE28" i="14" s="1"/>
  <c r="G28" i="14" s="1"/>
  <c r="AV29" i="14"/>
  <c r="AX29" i="14" l="1"/>
  <c r="BC29" i="14"/>
  <c r="BD29" i="14" s="1"/>
  <c r="BE29" i="14" s="1"/>
  <c r="G29" i="14" s="1"/>
  <c r="AV30" i="14"/>
  <c r="AX30" i="14" l="1"/>
  <c r="BC30" i="14"/>
  <c r="BD30" i="14" s="1"/>
  <c r="BE30" i="14" s="1"/>
  <c r="G30" i="14" s="1"/>
  <c r="AV31" i="14"/>
  <c r="AX31" i="14" l="1"/>
  <c r="BC31" i="14"/>
  <c r="BD31" i="14" s="1"/>
  <c r="BE31" i="14" s="1"/>
  <c r="G31" i="14" s="1"/>
  <c r="AV32" i="14"/>
  <c r="BC32" i="14" l="1"/>
  <c r="BD32" i="14" s="1"/>
  <c r="BE32" i="14" s="1"/>
  <c r="G32" i="14" s="1"/>
  <c r="AX32" i="14"/>
  <c r="AV33" i="14"/>
  <c r="BC33" i="14" l="1"/>
  <c r="BD33" i="14" s="1"/>
  <c r="BE33" i="14" s="1"/>
  <c r="G33" i="14" s="1"/>
  <c r="AX33" i="14"/>
  <c r="AV34" i="14"/>
  <c r="BC34" i="14" l="1"/>
  <c r="BD34" i="14" s="1"/>
  <c r="BE34" i="14" s="1"/>
  <c r="G34" i="14" s="1"/>
  <c r="AX34" i="14"/>
  <c r="AV35" i="14"/>
  <c r="BC35" i="14" l="1"/>
  <c r="BD35" i="14" s="1"/>
  <c r="BE35" i="14" s="1"/>
  <c r="G35" i="14" s="1"/>
  <c r="AX35" i="14"/>
  <c r="AV36" i="14"/>
  <c r="BC36" i="14" l="1"/>
  <c r="BD36" i="14" s="1"/>
  <c r="BE36" i="14" s="1"/>
  <c r="G36" i="14" s="1"/>
  <c r="AX36" i="14"/>
  <c r="AV37" i="14"/>
  <c r="AX37" i="14" l="1"/>
  <c r="BC37" i="14"/>
  <c r="BD37" i="14" s="1"/>
  <c r="BE37" i="14" s="1"/>
  <c r="G37" i="14" s="1"/>
  <c r="AV38" i="14"/>
  <c r="AX38" i="14" l="1"/>
  <c r="BC38" i="14"/>
  <c r="BD38" i="14" s="1"/>
  <c r="BE38" i="14" s="1"/>
  <c r="G38" i="14" s="1"/>
  <c r="AV39" i="14"/>
  <c r="AX39" i="14" l="1"/>
  <c r="BC39" i="14"/>
  <c r="BD39" i="14" s="1"/>
  <c r="BE39" i="14" s="1"/>
  <c r="G39" i="14" s="1"/>
  <c r="AV40" i="14"/>
  <c r="BC40" i="14" l="1"/>
  <c r="BD40" i="14" s="1"/>
  <c r="BE40" i="14" s="1"/>
  <c r="G40" i="14" s="1"/>
  <c r="AX40" i="14"/>
  <c r="AV41" i="14"/>
  <c r="BC41" i="14" l="1"/>
  <c r="BD41" i="14" s="1"/>
  <c r="BE41" i="14" s="1"/>
  <c r="G41" i="14" s="1"/>
  <c r="AX41" i="14"/>
  <c r="AV42" i="14"/>
  <c r="BC42" i="14" l="1"/>
  <c r="BD42" i="14" s="1"/>
  <c r="BE42" i="14" s="1"/>
  <c r="G42" i="14" s="1"/>
  <c r="AX42" i="14"/>
  <c r="AV43" i="14"/>
  <c r="AX43" i="14" l="1"/>
  <c r="BC43" i="14"/>
  <c r="BD43" i="14" s="1"/>
  <c r="BE43" i="14" s="1"/>
  <c r="G43" i="14" s="1"/>
  <c r="AV44" i="14"/>
  <c r="BC44" i="14" l="1"/>
  <c r="BD44" i="14" s="1"/>
  <c r="BE44" i="14" s="1"/>
  <c r="G44" i="14" s="1"/>
  <c r="AX44" i="14"/>
  <c r="AV45" i="14"/>
  <c r="BC45" i="14" l="1"/>
  <c r="BD45" i="14" s="1"/>
  <c r="BE45" i="14" s="1"/>
  <c r="G45" i="14" s="1"/>
  <c r="AX45" i="14"/>
  <c r="AV46" i="14"/>
  <c r="BC46" i="14" l="1"/>
  <c r="BD46" i="14" s="1"/>
  <c r="BE46" i="14" s="1"/>
  <c r="G46" i="14" s="1"/>
  <c r="AX46" i="14"/>
  <c r="N126" i="20"/>
  <c r="O126" i="20"/>
  <c r="P126" i="20"/>
  <c r="Q126" i="20"/>
  <c r="R126" i="20"/>
  <c r="N127" i="20"/>
  <c r="O127" i="20"/>
  <c r="P127" i="20"/>
  <c r="Q127" i="20"/>
  <c r="R127" i="20"/>
  <c r="N128" i="20"/>
  <c r="O128" i="20"/>
  <c r="P128" i="20"/>
  <c r="Q128" i="20"/>
  <c r="R128" i="20"/>
  <c r="N129" i="20"/>
  <c r="O129" i="20"/>
  <c r="P129" i="20"/>
  <c r="Q129" i="20"/>
  <c r="R129" i="20"/>
  <c r="N130" i="20"/>
  <c r="O130" i="20"/>
  <c r="P130" i="20"/>
  <c r="Q130" i="20"/>
  <c r="R130" i="20"/>
  <c r="N131" i="20"/>
  <c r="O131" i="20"/>
  <c r="P131" i="20"/>
  <c r="Q131" i="20"/>
  <c r="R131" i="20"/>
  <c r="N132" i="20"/>
  <c r="O132" i="20"/>
  <c r="P132" i="20"/>
  <c r="Q132" i="20"/>
  <c r="R132" i="20"/>
  <c r="N133" i="20"/>
  <c r="O133" i="20"/>
  <c r="P133" i="20"/>
  <c r="Q133" i="20"/>
  <c r="R133" i="20"/>
  <c r="N134" i="20"/>
  <c r="O134" i="20"/>
  <c r="P134" i="20"/>
  <c r="Q134" i="20"/>
  <c r="R134" i="20"/>
  <c r="N135" i="20"/>
  <c r="O135" i="20"/>
  <c r="P135" i="20"/>
  <c r="Q135" i="20"/>
  <c r="R135" i="20"/>
  <c r="M127" i="20"/>
  <c r="M128" i="20"/>
  <c r="M129" i="20"/>
  <c r="M130" i="20"/>
  <c r="M131" i="20"/>
  <c r="M132" i="20"/>
  <c r="M133" i="20"/>
  <c r="M134" i="20"/>
  <c r="M126" i="20"/>
  <c r="N120" i="20"/>
  <c r="O120" i="20"/>
  <c r="P120" i="20"/>
  <c r="Q120" i="20"/>
  <c r="R120" i="20"/>
  <c r="M120" i="20"/>
  <c r="D120" i="20"/>
  <c r="E120" i="20"/>
  <c r="F120" i="20"/>
  <c r="G120" i="20"/>
  <c r="H120" i="20"/>
  <c r="D121" i="20"/>
  <c r="E121" i="20"/>
  <c r="F121" i="20"/>
  <c r="G121" i="20"/>
  <c r="H121" i="20"/>
  <c r="D122" i="20"/>
  <c r="E122" i="20"/>
  <c r="F122" i="20"/>
  <c r="G122" i="20"/>
  <c r="H122" i="20"/>
  <c r="D123" i="20"/>
  <c r="E123" i="20"/>
  <c r="F123" i="20"/>
  <c r="G123" i="20"/>
  <c r="H123" i="20"/>
  <c r="D124" i="20"/>
  <c r="E124" i="20"/>
  <c r="F124" i="20"/>
  <c r="G124" i="20"/>
  <c r="H124" i="20"/>
  <c r="D125" i="20"/>
  <c r="E125" i="20"/>
  <c r="F125" i="20"/>
  <c r="G125" i="20"/>
  <c r="H125" i="20"/>
  <c r="D126" i="20"/>
  <c r="E126" i="20"/>
  <c r="F126" i="20"/>
  <c r="G126" i="20"/>
  <c r="H126" i="20"/>
  <c r="D127" i="20"/>
  <c r="E127" i="20"/>
  <c r="F127" i="20"/>
  <c r="G127" i="20"/>
  <c r="H127" i="20"/>
  <c r="D128" i="20"/>
  <c r="E128" i="20"/>
  <c r="F128" i="20"/>
  <c r="G128" i="20"/>
  <c r="H128" i="20"/>
  <c r="D129" i="20"/>
  <c r="E129" i="20"/>
  <c r="F129" i="20"/>
  <c r="G129" i="20"/>
  <c r="H129" i="20"/>
  <c r="D130" i="20"/>
  <c r="E130" i="20"/>
  <c r="F130" i="20"/>
  <c r="G130" i="20"/>
  <c r="H130" i="20"/>
  <c r="D131" i="20"/>
  <c r="E131" i="20"/>
  <c r="F131" i="20"/>
  <c r="G131" i="20"/>
  <c r="H131" i="20"/>
  <c r="D132" i="20"/>
  <c r="E132" i="20"/>
  <c r="F132" i="20"/>
  <c r="G132" i="20"/>
  <c r="H132" i="20"/>
  <c r="D133" i="20"/>
  <c r="E133" i="20"/>
  <c r="F133" i="20"/>
  <c r="G133" i="20"/>
  <c r="H133" i="20"/>
  <c r="D134" i="20"/>
  <c r="E134" i="20"/>
  <c r="F134" i="20"/>
  <c r="G134" i="20"/>
  <c r="H134" i="20"/>
  <c r="D135" i="20"/>
  <c r="E135" i="20"/>
  <c r="F135" i="20"/>
  <c r="G135" i="20"/>
  <c r="H135" i="20"/>
  <c r="C121" i="20"/>
  <c r="C122" i="20"/>
  <c r="C123" i="20"/>
  <c r="C124" i="20"/>
  <c r="C125" i="20"/>
  <c r="C126" i="20"/>
  <c r="C127" i="20"/>
  <c r="C128" i="20"/>
  <c r="C129" i="20"/>
  <c r="C130" i="20"/>
  <c r="C131" i="20"/>
  <c r="C132" i="20"/>
  <c r="C133" i="20"/>
  <c r="C134" i="20"/>
  <c r="C135" i="20"/>
  <c r="C120" i="20"/>
  <c r="B20" i="22"/>
  <c r="B21" i="22"/>
  <c r="B22" i="22"/>
  <c r="B23" i="22"/>
  <c r="B24" i="22"/>
  <c r="B19" i="22"/>
  <c r="AF8" i="10"/>
  <c r="AF9" i="10"/>
  <c r="AF10" i="10"/>
  <c r="AF11" i="10"/>
  <c r="AF12" i="10"/>
  <c r="AF13" i="10"/>
  <c r="AF14" i="10"/>
  <c r="AF15" i="10"/>
  <c r="AF16" i="10"/>
  <c r="AF17" i="10"/>
  <c r="AF18" i="10"/>
  <c r="AF19" i="10"/>
  <c r="AF20" i="10"/>
  <c r="AF21" i="10"/>
  <c r="AF22" i="10"/>
  <c r="AF7" i="10"/>
  <c r="AE8" i="10"/>
  <c r="AE9" i="10"/>
  <c r="AE10" i="10"/>
  <c r="AE11" i="10"/>
  <c r="AE12" i="10"/>
  <c r="AE13" i="10"/>
  <c r="AE14" i="10"/>
  <c r="AE15" i="10"/>
  <c r="AE16" i="10"/>
  <c r="AE17" i="10"/>
  <c r="AE18" i="10"/>
  <c r="AE19" i="10"/>
  <c r="AE20" i="10"/>
  <c r="AE21" i="10"/>
  <c r="AE22" i="10"/>
  <c r="AE7" i="10"/>
  <c r="AD8" i="10"/>
  <c r="AD9" i="10"/>
  <c r="AD10" i="10"/>
  <c r="AD11" i="10"/>
  <c r="AD12" i="10"/>
  <c r="AD13" i="10"/>
  <c r="AD14" i="10"/>
  <c r="AD15" i="10"/>
  <c r="AD16" i="10"/>
  <c r="AD17" i="10"/>
  <c r="AD18" i="10"/>
  <c r="AD19" i="10"/>
  <c r="AD20" i="10"/>
  <c r="AD21" i="10"/>
  <c r="AD22" i="10"/>
  <c r="AD7" i="10"/>
  <c r="AC8" i="10"/>
  <c r="AC9" i="10"/>
  <c r="AC10" i="10"/>
  <c r="AC11" i="10"/>
  <c r="AC12" i="10"/>
  <c r="AC13" i="10"/>
  <c r="AC14" i="10"/>
  <c r="AC15" i="10"/>
  <c r="AC16" i="10"/>
  <c r="AC17" i="10"/>
  <c r="AC18" i="10"/>
  <c r="AC19" i="10"/>
  <c r="AC20" i="10"/>
  <c r="AC21" i="10"/>
  <c r="AC22" i="10"/>
  <c r="AC7" i="10"/>
  <c r="AB8" i="10"/>
  <c r="AB9" i="10"/>
  <c r="AB10" i="10"/>
  <c r="AB11" i="10"/>
  <c r="AB12" i="10"/>
  <c r="AB13" i="10"/>
  <c r="AB14" i="10"/>
  <c r="AB15" i="10"/>
  <c r="AB16" i="10"/>
  <c r="AB17" i="10"/>
  <c r="AB18" i="10"/>
  <c r="AB19" i="10"/>
  <c r="AB20" i="10"/>
  <c r="AB21" i="10"/>
  <c r="AB22" i="10"/>
  <c r="AB7" i="10"/>
  <c r="AA8" i="10"/>
  <c r="AA9" i="10"/>
  <c r="AA10" i="10"/>
  <c r="AA11" i="10"/>
  <c r="AA12" i="10"/>
  <c r="AA13" i="10"/>
  <c r="AA14" i="10"/>
  <c r="AA15" i="10"/>
  <c r="AA16" i="10"/>
  <c r="AA17" i="10"/>
  <c r="AA18" i="10"/>
  <c r="AA19" i="10"/>
  <c r="AA20" i="10"/>
  <c r="AA21" i="10"/>
  <c r="AA22" i="10"/>
  <c r="AA7" i="10"/>
  <c r="Z8" i="10"/>
  <c r="Z9" i="10"/>
  <c r="Z10" i="10"/>
  <c r="Z11" i="10"/>
  <c r="Z12" i="10"/>
  <c r="Z13" i="10"/>
  <c r="Z14" i="10"/>
  <c r="Z15" i="10"/>
  <c r="Z16" i="10"/>
  <c r="Z17" i="10"/>
  <c r="Z18" i="10"/>
  <c r="Z19" i="10"/>
  <c r="Z20" i="10"/>
  <c r="Z21" i="10"/>
  <c r="Z22" i="10"/>
  <c r="Z7" i="10"/>
  <c r="AC9" i="14"/>
  <c r="AC10" i="14"/>
  <c r="AC11" i="14"/>
  <c r="AC12" i="14"/>
  <c r="AC13" i="14"/>
  <c r="AC14" i="14"/>
  <c r="AC15" i="14"/>
  <c r="AC16" i="14"/>
  <c r="AC17" i="14"/>
  <c r="AC18" i="14"/>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8" i="14"/>
  <c r="X65" i="5"/>
  <c r="X66" i="5"/>
  <c r="AD132" i="20" s="1"/>
  <c r="X67" i="5"/>
  <c r="X68" i="5"/>
  <c r="AD134" i="20" s="1"/>
  <c r="X69" i="5"/>
  <c r="AD135" i="20" s="1"/>
  <c r="X64" i="5"/>
  <c r="X61" i="5"/>
  <c r="AE131" i="20"/>
  <c r="AA14" i="14"/>
  <c r="AA15" i="14"/>
  <c r="AA16" i="14"/>
  <c r="AA17" i="14"/>
  <c r="AA18" i="14"/>
  <c r="AA13" i="14"/>
  <c r="AA12" i="14"/>
  <c r="AA11" i="14"/>
  <c r="AA10" i="14"/>
  <c r="Y14" i="14"/>
  <c r="Y15" i="14"/>
  <c r="Y16" i="14"/>
  <c r="Y17" i="14"/>
  <c r="Y18" i="14"/>
  <c r="Y13" i="14"/>
  <c r="Y12" i="14"/>
  <c r="Y11" i="14"/>
  <c r="Y10" i="14"/>
  <c r="C47" i="14"/>
  <c r="N64" i="5"/>
  <c r="N65" i="5"/>
  <c r="N66" i="5"/>
  <c r="N67" i="5"/>
  <c r="N68" i="5"/>
  <c r="N69" i="5"/>
  <c r="M65" i="5"/>
  <c r="M66" i="5"/>
  <c r="M67" i="5"/>
  <c r="M68" i="5"/>
  <c r="M69" i="5"/>
  <c r="L65" i="5"/>
  <c r="L66" i="5"/>
  <c r="L67" i="5"/>
  <c r="L68" i="5"/>
  <c r="L69" i="5"/>
  <c r="K65" i="5"/>
  <c r="K66" i="5"/>
  <c r="K67" i="5"/>
  <c r="K68" i="5"/>
  <c r="K69" i="5"/>
  <c r="J65" i="5"/>
  <c r="J66" i="5"/>
  <c r="J67" i="5"/>
  <c r="J68" i="5"/>
  <c r="J69" i="5"/>
  <c r="I65" i="5"/>
  <c r="I66" i="5"/>
  <c r="I67" i="5"/>
  <c r="I68" i="5"/>
  <c r="I69" i="5"/>
  <c r="H65" i="5"/>
  <c r="H66" i="5"/>
  <c r="H67" i="5"/>
  <c r="H68" i="5"/>
  <c r="H69" i="5"/>
  <c r="O64" i="4"/>
  <c r="O65" i="4"/>
  <c r="O66" i="4"/>
  <c r="O67" i="4"/>
  <c r="O68" i="4"/>
  <c r="O69" i="4"/>
  <c r="N64" i="4"/>
  <c r="N65" i="4"/>
  <c r="N66" i="4"/>
  <c r="N67" i="4"/>
  <c r="N68" i="4"/>
  <c r="N69" i="4"/>
  <c r="M64" i="4"/>
  <c r="M65" i="4"/>
  <c r="M66" i="4"/>
  <c r="M67" i="4"/>
  <c r="M68" i="4"/>
  <c r="M69" i="4"/>
  <c r="L64" i="4"/>
  <c r="L65" i="4"/>
  <c r="L66" i="4"/>
  <c r="L67" i="4"/>
  <c r="L68" i="4"/>
  <c r="L69" i="4"/>
  <c r="K64" i="4"/>
  <c r="K65" i="4"/>
  <c r="K66" i="4"/>
  <c r="K67" i="4"/>
  <c r="K68" i="4"/>
  <c r="K69" i="4"/>
  <c r="J64" i="4"/>
  <c r="J65" i="4"/>
  <c r="J66" i="4"/>
  <c r="J67" i="4"/>
  <c r="J68" i="4"/>
  <c r="J69" i="4"/>
  <c r="I64" i="4"/>
  <c r="I65" i="4"/>
  <c r="I66" i="4"/>
  <c r="I67" i="4"/>
  <c r="I68" i="4"/>
  <c r="I69" i="4"/>
  <c r="H64" i="4"/>
  <c r="H65" i="4"/>
  <c r="H66" i="4"/>
  <c r="H67" i="4"/>
  <c r="H68" i="4"/>
  <c r="H69" i="4"/>
  <c r="O32" i="1"/>
  <c r="O33" i="1"/>
  <c r="O34" i="1"/>
  <c r="O35" i="1"/>
  <c r="O36" i="1"/>
  <c r="O37" i="1"/>
  <c r="O38" i="1"/>
  <c r="O39" i="1"/>
  <c r="O40" i="1"/>
  <c r="O41" i="1"/>
  <c r="O42" i="1"/>
  <c r="F42" i="1"/>
  <c r="I42" i="1" s="1"/>
  <c r="K42" i="1"/>
  <c r="L42" i="1"/>
  <c r="M42" i="1"/>
  <c r="F41" i="1"/>
  <c r="I41" i="1" s="1"/>
  <c r="M41" i="1"/>
  <c r="F40" i="1"/>
  <c r="I40" i="1" s="1"/>
  <c r="K40" i="1"/>
  <c r="L40" i="1"/>
  <c r="M40" i="1"/>
  <c r="F39" i="1"/>
  <c r="I39" i="1" s="1"/>
  <c r="J39" i="1"/>
  <c r="K39" i="1"/>
  <c r="L39" i="1"/>
  <c r="M39" i="1"/>
  <c r="F38" i="1"/>
  <c r="I38" i="1" s="1"/>
  <c r="L38" i="1"/>
  <c r="M38" i="1"/>
  <c r="M20" i="1"/>
  <c r="M21" i="1"/>
  <c r="M22" i="1"/>
  <c r="L20" i="1"/>
  <c r="L21" i="1"/>
  <c r="L22" i="1"/>
  <c r="K20" i="1"/>
  <c r="K21" i="1"/>
  <c r="K22" i="1"/>
  <c r="J20" i="1"/>
  <c r="J21" i="1"/>
  <c r="J22" i="1"/>
  <c r="I20" i="1"/>
  <c r="I21" i="1"/>
  <c r="I22" i="1"/>
  <c r="L19" i="1"/>
  <c r="I19" i="1"/>
  <c r="J19" i="1"/>
  <c r="K19" i="1"/>
  <c r="M19" i="1"/>
  <c r="I18" i="1"/>
  <c r="K18" i="1"/>
  <c r="M18" i="1"/>
  <c r="O20" i="4"/>
  <c r="O21" i="4"/>
  <c r="O22" i="4"/>
  <c r="O23" i="4"/>
  <c r="O40" i="4"/>
  <c r="O39" i="4"/>
  <c r="O41" i="4"/>
  <c r="O42" i="4"/>
  <c r="O43" i="4"/>
  <c r="O19" i="4"/>
  <c r="O18" i="4"/>
  <c r="H61" i="5"/>
  <c r="AE128" i="20"/>
  <c r="AE129" i="20"/>
  <c r="AE130" i="20"/>
  <c r="AE132" i="20"/>
  <c r="AE133" i="20"/>
  <c r="AE134" i="20"/>
  <c r="AE135" i="20"/>
  <c r="AE127" i="20"/>
  <c r="AD128" i="20"/>
  <c r="AD129" i="20"/>
  <c r="AD130" i="20"/>
  <c r="AD131" i="20"/>
  <c r="AD133" i="20"/>
  <c r="AD127" i="20"/>
  <c r="AC128" i="20"/>
  <c r="AC129" i="20"/>
  <c r="AC130" i="20"/>
  <c r="AC131" i="20"/>
  <c r="AC132" i="20"/>
  <c r="AC133" i="20"/>
  <c r="AC134" i="20"/>
  <c r="AC135" i="20"/>
  <c r="AC127" i="20"/>
  <c r="AB128" i="20"/>
  <c r="AB129" i="20"/>
  <c r="AB130" i="20"/>
  <c r="AB131" i="20"/>
  <c r="AB132" i="20"/>
  <c r="AB133" i="20"/>
  <c r="AB134" i="20"/>
  <c r="AB135" i="20"/>
  <c r="AB127" i="20"/>
  <c r="AA128" i="20"/>
  <c r="AA129" i="20"/>
  <c r="AA130" i="20"/>
  <c r="AA131" i="20"/>
  <c r="AA132" i="20"/>
  <c r="AA133" i="20"/>
  <c r="AA127" i="20"/>
  <c r="Z128" i="20"/>
  <c r="Z129" i="20"/>
  <c r="Z130" i="20"/>
  <c r="Z131" i="20"/>
  <c r="Z132" i="20"/>
  <c r="Z133" i="20"/>
  <c r="Z134" i="20"/>
  <c r="Z135" i="20"/>
  <c r="Z127" i="20"/>
  <c r="Y128" i="20"/>
  <c r="Y129" i="20"/>
  <c r="Y130" i="20"/>
  <c r="Y131" i="20"/>
  <c r="Y132" i="20"/>
  <c r="Y133" i="20"/>
  <c r="Y134" i="20"/>
  <c r="Y135" i="20"/>
  <c r="Y127" i="20"/>
  <c r="AF28" i="20"/>
  <c r="AF29" i="20"/>
  <c r="AF30" i="20"/>
  <c r="AF31" i="20"/>
  <c r="AF32" i="20"/>
  <c r="AE28" i="20"/>
  <c r="AE29" i="20"/>
  <c r="AE30" i="20"/>
  <c r="AE31" i="20"/>
  <c r="AE32" i="20"/>
  <c r="AD28" i="20"/>
  <c r="AD29" i="20"/>
  <c r="AD30" i="20"/>
  <c r="AD31" i="20"/>
  <c r="AD32" i="20"/>
  <c r="AC28" i="20"/>
  <c r="AC29" i="20"/>
  <c r="AC30" i="20"/>
  <c r="AC31" i="20"/>
  <c r="AC32" i="20"/>
  <c r="AB28" i="20"/>
  <c r="AB29" i="20"/>
  <c r="AB30" i="20"/>
  <c r="AB31" i="20"/>
  <c r="AB32" i="20"/>
  <c r="AA28" i="20"/>
  <c r="AA29" i="20"/>
  <c r="AA30" i="20"/>
  <c r="AA31" i="20"/>
  <c r="AA32" i="20"/>
  <c r="Z28" i="20"/>
  <c r="Z29" i="20"/>
  <c r="Z30" i="20"/>
  <c r="Z31" i="20"/>
  <c r="Z32" i="20"/>
  <c r="Y28" i="20"/>
  <c r="Y29" i="20"/>
  <c r="Y30" i="20"/>
  <c r="Y31" i="20"/>
  <c r="Y32" i="20"/>
  <c r="U28" i="20"/>
  <c r="U29" i="20"/>
  <c r="U30" i="20"/>
  <c r="U31" i="20"/>
  <c r="U32" i="20"/>
  <c r="T28" i="20"/>
  <c r="T29" i="20"/>
  <c r="T30" i="20"/>
  <c r="T31" i="20"/>
  <c r="T32" i="20"/>
  <c r="S28" i="20"/>
  <c r="S29" i="20"/>
  <c r="S30" i="20"/>
  <c r="S31" i="20"/>
  <c r="S32" i="20"/>
  <c r="R28" i="20"/>
  <c r="R29" i="20"/>
  <c r="R30" i="20"/>
  <c r="R31" i="20"/>
  <c r="R32" i="20"/>
  <c r="Q28" i="20"/>
  <c r="Q29" i="20"/>
  <c r="Q30" i="20"/>
  <c r="Q31" i="20"/>
  <c r="Q32" i="20"/>
  <c r="P28" i="20"/>
  <c r="P29" i="20"/>
  <c r="P30" i="20"/>
  <c r="P31" i="20"/>
  <c r="P32" i="20"/>
  <c r="O28" i="20"/>
  <c r="O29" i="20"/>
  <c r="O30" i="20"/>
  <c r="O31" i="20"/>
  <c r="O32" i="20"/>
  <c r="N28" i="20"/>
  <c r="N29" i="20"/>
  <c r="N30" i="20"/>
  <c r="N31" i="20"/>
  <c r="N32" i="20"/>
  <c r="J28" i="20"/>
  <c r="J29" i="20"/>
  <c r="J30" i="20"/>
  <c r="J31" i="20"/>
  <c r="J32" i="20"/>
  <c r="I28" i="20"/>
  <c r="I29" i="20"/>
  <c r="I30" i="20"/>
  <c r="I31" i="20"/>
  <c r="I32" i="20"/>
  <c r="I27" i="20"/>
  <c r="H28" i="20"/>
  <c r="H29" i="20"/>
  <c r="H30" i="20"/>
  <c r="H31" i="20"/>
  <c r="H32" i="20"/>
  <c r="H27" i="20"/>
  <c r="G28" i="20"/>
  <c r="G29" i="20"/>
  <c r="G30" i="20"/>
  <c r="G31" i="20"/>
  <c r="G32" i="20"/>
  <c r="G27" i="20"/>
  <c r="F28" i="20"/>
  <c r="F29" i="20"/>
  <c r="F30" i="20"/>
  <c r="F31" i="20"/>
  <c r="F32" i="20"/>
  <c r="F33" i="20"/>
  <c r="F27" i="20"/>
  <c r="E28" i="20"/>
  <c r="E29" i="20"/>
  <c r="E30" i="20"/>
  <c r="E31" i="20"/>
  <c r="E32" i="20"/>
  <c r="E27" i="20"/>
  <c r="D28" i="20"/>
  <c r="D29" i="20"/>
  <c r="D30" i="20"/>
  <c r="D31" i="20"/>
  <c r="D32" i="20"/>
  <c r="D27" i="20"/>
  <c r="C28" i="20"/>
  <c r="C29" i="20"/>
  <c r="C30" i="20"/>
  <c r="C31" i="20"/>
  <c r="C32" i="20"/>
  <c r="C27" i="20"/>
  <c r="AF79" i="20"/>
  <c r="AF80" i="20"/>
  <c r="AF81" i="20"/>
  <c r="AF82" i="20"/>
  <c r="AF83" i="20"/>
  <c r="AE79" i="20"/>
  <c r="AE80" i="20"/>
  <c r="AE81" i="20"/>
  <c r="AE82" i="20"/>
  <c r="AE83" i="20"/>
  <c r="AD79" i="20"/>
  <c r="AD80" i="20"/>
  <c r="AD81" i="20"/>
  <c r="AD82" i="20"/>
  <c r="AD83" i="20"/>
  <c r="AC79" i="20"/>
  <c r="AC80" i="20"/>
  <c r="AC81" i="20"/>
  <c r="AC82" i="20"/>
  <c r="AC83" i="20"/>
  <c r="AB79" i="20"/>
  <c r="AB80" i="20"/>
  <c r="AB81" i="20"/>
  <c r="AB82" i="20"/>
  <c r="AB83" i="20"/>
  <c r="AA79" i="20"/>
  <c r="AA80" i="20"/>
  <c r="AA81" i="20"/>
  <c r="AA82" i="20"/>
  <c r="AA83" i="20"/>
  <c r="Z79" i="20"/>
  <c r="Z80" i="20"/>
  <c r="Z81" i="20"/>
  <c r="Z82" i="20"/>
  <c r="Z83" i="20"/>
  <c r="Y79" i="20"/>
  <c r="Y80" i="20"/>
  <c r="Y81" i="20"/>
  <c r="Y82" i="20"/>
  <c r="Y83" i="20"/>
  <c r="U79" i="20"/>
  <c r="U80" i="20"/>
  <c r="U81" i="20"/>
  <c r="U82" i="20"/>
  <c r="U83" i="20"/>
  <c r="T79" i="20"/>
  <c r="T80" i="20"/>
  <c r="T81" i="20"/>
  <c r="T82" i="20"/>
  <c r="T83" i="20"/>
  <c r="S79" i="20"/>
  <c r="S80" i="20"/>
  <c r="S81" i="20"/>
  <c r="S82" i="20"/>
  <c r="S83" i="20"/>
  <c r="R79" i="20"/>
  <c r="R80" i="20"/>
  <c r="R81" i="20"/>
  <c r="R82" i="20"/>
  <c r="R83" i="20"/>
  <c r="Q79" i="20"/>
  <c r="Q80" i="20"/>
  <c r="Q81" i="20"/>
  <c r="Q82" i="20"/>
  <c r="Q83" i="20"/>
  <c r="P79" i="20"/>
  <c r="P80" i="20"/>
  <c r="P81" i="20"/>
  <c r="P82" i="20"/>
  <c r="P83" i="20"/>
  <c r="O79" i="20"/>
  <c r="O80" i="20"/>
  <c r="O81" i="20"/>
  <c r="O82" i="20"/>
  <c r="O83" i="20"/>
  <c r="N79" i="20"/>
  <c r="N80" i="20"/>
  <c r="N81" i="20"/>
  <c r="N82" i="20"/>
  <c r="N83" i="20"/>
  <c r="J77" i="20"/>
  <c r="J78" i="20"/>
  <c r="J79" i="20"/>
  <c r="J80" i="20"/>
  <c r="J81" i="20"/>
  <c r="J82" i="20"/>
  <c r="J83" i="20"/>
  <c r="I77" i="20"/>
  <c r="I78" i="20"/>
  <c r="I79" i="20"/>
  <c r="I80" i="20"/>
  <c r="I81" i="20"/>
  <c r="I82" i="20"/>
  <c r="I83" i="20"/>
  <c r="H77" i="20"/>
  <c r="H78" i="20"/>
  <c r="H79" i="20"/>
  <c r="H80" i="20"/>
  <c r="H81" i="20"/>
  <c r="H82" i="20"/>
  <c r="H83" i="20"/>
  <c r="G77" i="20"/>
  <c r="G78" i="20"/>
  <c r="G79" i="20"/>
  <c r="G80" i="20"/>
  <c r="G81" i="20"/>
  <c r="G82" i="20"/>
  <c r="G83" i="20"/>
  <c r="F77" i="20"/>
  <c r="F78" i="20"/>
  <c r="F79" i="20"/>
  <c r="F80" i="20"/>
  <c r="F81" i="20"/>
  <c r="F82" i="20"/>
  <c r="F83" i="20"/>
  <c r="E77" i="20"/>
  <c r="E78" i="20"/>
  <c r="E79" i="20"/>
  <c r="E80" i="20"/>
  <c r="E81" i="20"/>
  <c r="E82" i="20"/>
  <c r="E83" i="20"/>
  <c r="D77" i="20"/>
  <c r="D78" i="20"/>
  <c r="D79" i="20"/>
  <c r="D80" i="20"/>
  <c r="D81" i="20"/>
  <c r="D82" i="20"/>
  <c r="D83" i="20"/>
  <c r="C77" i="20"/>
  <c r="C78" i="20"/>
  <c r="C79" i="20"/>
  <c r="C80" i="20"/>
  <c r="C81" i="20"/>
  <c r="C82" i="20"/>
  <c r="C83" i="20"/>
  <c r="B30" i="52"/>
  <c r="H64" i="5"/>
  <c r="X63" i="5"/>
  <c r="X62" i="5"/>
  <c r="H62" i="5"/>
  <c r="H63" i="5"/>
  <c r="AC99" i="50"/>
  <c r="AC100" i="50"/>
  <c r="AC101" i="50"/>
  <c r="AC102" i="50"/>
  <c r="AC103" i="50"/>
  <c r="AC104" i="50"/>
  <c r="AC105" i="50"/>
  <c r="AC106" i="50"/>
  <c r="AC98" i="50"/>
  <c r="AB99" i="50"/>
  <c r="AB100" i="50"/>
  <c r="AB101" i="50"/>
  <c r="AB102" i="50"/>
  <c r="AB103" i="50"/>
  <c r="AB104" i="50"/>
  <c r="AB105" i="50"/>
  <c r="AB106" i="50"/>
  <c r="AB98" i="50"/>
  <c r="AA99" i="50"/>
  <c r="AA100" i="50"/>
  <c r="AA101" i="50"/>
  <c r="AA102" i="50"/>
  <c r="AA103" i="50"/>
  <c r="AA104" i="50"/>
  <c r="AA105" i="50"/>
  <c r="AA106" i="50"/>
  <c r="AA98" i="50"/>
  <c r="Z99" i="50"/>
  <c r="Z100" i="50"/>
  <c r="Z101" i="50"/>
  <c r="Z102" i="50"/>
  <c r="Z103" i="50"/>
  <c r="Z104" i="50"/>
  <c r="Z105" i="50"/>
  <c r="Z106" i="50"/>
  <c r="Z98" i="50"/>
  <c r="Y99" i="50"/>
  <c r="Y100" i="50"/>
  <c r="Y101" i="50"/>
  <c r="Y102" i="50"/>
  <c r="Y103" i="50"/>
  <c r="Y104" i="50"/>
  <c r="Y105" i="50"/>
  <c r="Y106" i="50"/>
  <c r="Y98" i="50"/>
  <c r="X99" i="50"/>
  <c r="X100" i="50"/>
  <c r="X101" i="50"/>
  <c r="X102" i="50"/>
  <c r="X103" i="50"/>
  <c r="X104" i="50"/>
  <c r="X105" i="50"/>
  <c r="X106" i="50"/>
  <c r="X98" i="50"/>
  <c r="W99" i="50"/>
  <c r="W100" i="50"/>
  <c r="W101" i="50"/>
  <c r="W102" i="50"/>
  <c r="W103" i="50"/>
  <c r="W104" i="50"/>
  <c r="W105" i="50"/>
  <c r="W106" i="50"/>
  <c r="W98" i="50"/>
  <c r="V99" i="50"/>
  <c r="V100" i="50"/>
  <c r="V101" i="50"/>
  <c r="V102" i="50"/>
  <c r="V103" i="50"/>
  <c r="V104" i="50"/>
  <c r="V105" i="50"/>
  <c r="V106" i="50"/>
  <c r="V98" i="50"/>
  <c r="S99" i="50"/>
  <c r="S100" i="50"/>
  <c r="S101" i="50"/>
  <c r="S102" i="50"/>
  <c r="S103" i="50"/>
  <c r="S104" i="50"/>
  <c r="S105" i="50"/>
  <c r="S106" i="50"/>
  <c r="S98" i="50"/>
  <c r="R99" i="50"/>
  <c r="R100" i="50"/>
  <c r="R101" i="50"/>
  <c r="R102" i="50"/>
  <c r="R103" i="50"/>
  <c r="R104" i="50"/>
  <c r="R105" i="50"/>
  <c r="R106" i="50"/>
  <c r="R98" i="50"/>
  <c r="Q99" i="50"/>
  <c r="Q100" i="50"/>
  <c r="Q101" i="50"/>
  <c r="Q102" i="50"/>
  <c r="Q103" i="50"/>
  <c r="Q104" i="50"/>
  <c r="Q105" i="50"/>
  <c r="Q106" i="50"/>
  <c r="Q98" i="50"/>
  <c r="P99" i="50"/>
  <c r="P100" i="50"/>
  <c r="P101" i="50"/>
  <c r="P102" i="50"/>
  <c r="P103" i="50"/>
  <c r="P104" i="50"/>
  <c r="P105" i="50"/>
  <c r="P106" i="50"/>
  <c r="P98" i="50"/>
  <c r="O99" i="50"/>
  <c r="O100" i="50"/>
  <c r="O101" i="50"/>
  <c r="O102" i="50"/>
  <c r="O103" i="50"/>
  <c r="O104" i="50"/>
  <c r="O105" i="50"/>
  <c r="O106" i="50"/>
  <c r="O98" i="50"/>
  <c r="N99" i="50"/>
  <c r="N100" i="50"/>
  <c r="N101" i="50"/>
  <c r="N102" i="50"/>
  <c r="N103" i="50"/>
  <c r="N104" i="50"/>
  <c r="N105" i="50"/>
  <c r="N106" i="50"/>
  <c r="N98" i="50"/>
  <c r="M99" i="50"/>
  <c r="M100" i="50"/>
  <c r="M101" i="50"/>
  <c r="M102" i="50"/>
  <c r="M103" i="50"/>
  <c r="M104" i="50"/>
  <c r="M105" i="50"/>
  <c r="M106" i="50"/>
  <c r="M98" i="50"/>
  <c r="L99" i="50"/>
  <c r="L100" i="50"/>
  <c r="L101" i="50"/>
  <c r="L102" i="50"/>
  <c r="L103" i="50"/>
  <c r="L104" i="50"/>
  <c r="L105" i="50"/>
  <c r="L106" i="50"/>
  <c r="L98" i="50"/>
  <c r="AC74" i="50"/>
  <c r="AC75" i="50"/>
  <c r="AC76" i="50"/>
  <c r="AC77" i="50"/>
  <c r="AC78" i="50"/>
  <c r="AC79" i="50"/>
  <c r="AC80" i="50"/>
  <c r="AC81" i="50"/>
  <c r="AC73" i="50"/>
  <c r="AB74" i="50"/>
  <c r="AB75" i="50"/>
  <c r="AB76" i="50"/>
  <c r="AB77" i="50"/>
  <c r="AB78" i="50"/>
  <c r="AB79" i="50"/>
  <c r="AB80" i="50"/>
  <c r="AB81" i="50"/>
  <c r="AB73" i="50"/>
  <c r="AA74" i="50"/>
  <c r="AA75" i="50"/>
  <c r="AA76" i="50"/>
  <c r="AA77" i="50"/>
  <c r="AA78" i="50"/>
  <c r="AA79" i="50"/>
  <c r="AA80" i="50"/>
  <c r="AA81" i="50"/>
  <c r="AA73" i="50"/>
  <c r="Z74" i="50"/>
  <c r="Z75" i="50"/>
  <c r="Z76" i="50"/>
  <c r="Z77" i="50"/>
  <c r="Z78" i="50"/>
  <c r="Z79" i="50"/>
  <c r="Z80" i="50"/>
  <c r="Z81" i="50"/>
  <c r="Z73" i="50"/>
  <c r="Y74" i="50"/>
  <c r="Y75" i="50"/>
  <c r="Y76" i="50"/>
  <c r="Y77" i="50"/>
  <c r="Y78" i="50"/>
  <c r="Y79" i="50"/>
  <c r="Y80" i="50"/>
  <c r="Y81" i="50"/>
  <c r="Y73" i="50"/>
  <c r="X74" i="50"/>
  <c r="X75" i="50"/>
  <c r="X76" i="50"/>
  <c r="X77" i="50"/>
  <c r="X78" i="50"/>
  <c r="X79" i="50"/>
  <c r="X80" i="50"/>
  <c r="X81" i="50"/>
  <c r="X73" i="50"/>
  <c r="W74" i="50"/>
  <c r="W75" i="50"/>
  <c r="W76" i="50"/>
  <c r="W77" i="50"/>
  <c r="W78" i="50"/>
  <c r="W79" i="50"/>
  <c r="W80" i="50"/>
  <c r="W81" i="50"/>
  <c r="W73" i="50"/>
  <c r="V74" i="50"/>
  <c r="V75" i="50"/>
  <c r="V76" i="50"/>
  <c r="V77" i="50"/>
  <c r="V78" i="50"/>
  <c r="V79" i="50"/>
  <c r="V80" i="50"/>
  <c r="V81" i="50"/>
  <c r="V73" i="50"/>
  <c r="S77" i="50"/>
  <c r="S78" i="50"/>
  <c r="S79" i="50"/>
  <c r="S80" i="50"/>
  <c r="S81" i="50"/>
  <c r="AM81" i="50" s="1"/>
  <c r="R77" i="50"/>
  <c r="AL77" i="50" s="1"/>
  <c r="R78" i="50"/>
  <c r="AL78" i="50" s="1"/>
  <c r="R79" i="50"/>
  <c r="R80" i="50"/>
  <c r="AL80" i="50" s="1"/>
  <c r="R81" i="50"/>
  <c r="AL81" i="50" s="1"/>
  <c r="Q77" i="50"/>
  <c r="Q78" i="50"/>
  <c r="Q79" i="50"/>
  <c r="AK79" i="50" s="1"/>
  <c r="Q80" i="50"/>
  <c r="AK80" i="50" s="1"/>
  <c r="Q81" i="50"/>
  <c r="AK81" i="50" s="1"/>
  <c r="P77" i="50"/>
  <c r="P78" i="50"/>
  <c r="AJ78" i="50" s="1"/>
  <c r="P79" i="50"/>
  <c r="AJ79" i="50" s="1"/>
  <c r="P80" i="50"/>
  <c r="AJ80" i="50" s="1"/>
  <c r="P81" i="50"/>
  <c r="AJ81" i="50" s="1"/>
  <c r="O77" i="50"/>
  <c r="AI77" i="50" s="1"/>
  <c r="O78" i="50"/>
  <c r="AI78" i="50" s="1"/>
  <c r="O79" i="50"/>
  <c r="AI79" i="50" s="1"/>
  <c r="O80" i="50"/>
  <c r="AI80" i="50" s="1"/>
  <c r="O81" i="50"/>
  <c r="AI81" i="50" s="1"/>
  <c r="N77" i="50"/>
  <c r="AH77" i="50" s="1"/>
  <c r="N78" i="50"/>
  <c r="AH78" i="50" s="1"/>
  <c r="N79" i="50"/>
  <c r="AH79" i="50" s="1"/>
  <c r="N80" i="50"/>
  <c r="AH80" i="50" s="1"/>
  <c r="N81" i="50"/>
  <c r="AH81" i="50" s="1"/>
  <c r="M77" i="50"/>
  <c r="AG77" i="50" s="1"/>
  <c r="M78" i="50"/>
  <c r="AG78" i="50" s="1"/>
  <c r="M79" i="50"/>
  <c r="AG79" i="50" s="1"/>
  <c r="M80" i="50"/>
  <c r="M81" i="50"/>
  <c r="L77" i="50"/>
  <c r="AF77" i="50" s="1"/>
  <c r="L78" i="50"/>
  <c r="AF78" i="50" s="1"/>
  <c r="L79" i="50"/>
  <c r="AF79" i="50" s="1"/>
  <c r="L80" i="50"/>
  <c r="AF80" i="50" s="1"/>
  <c r="L81" i="50"/>
  <c r="AM61" i="50"/>
  <c r="AL61" i="50"/>
  <c r="AK61" i="50"/>
  <c r="AI61" i="50"/>
  <c r="AJ61" i="50"/>
  <c r="AG61" i="50"/>
  <c r="AH61" i="50"/>
  <c r="AF61" i="50"/>
  <c r="S74" i="50"/>
  <c r="AM74" i="50" s="1"/>
  <c r="S75" i="50"/>
  <c r="AM75" i="50" s="1"/>
  <c r="S76" i="50"/>
  <c r="AM76" i="50" s="1"/>
  <c r="S73" i="50"/>
  <c r="AM73" i="50" s="1"/>
  <c r="R74" i="50"/>
  <c r="AL74" i="50" s="1"/>
  <c r="R75" i="50"/>
  <c r="AL75" i="50" s="1"/>
  <c r="R76" i="50"/>
  <c r="AL76" i="50" s="1"/>
  <c r="R73" i="50"/>
  <c r="AL73" i="50" s="1"/>
  <c r="Q74" i="50"/>
  <c r="AK74" i="50" s="1"/>
  <c r="Q75" i="50"/>
  <c r="Q76" i="50"/>
  <c r="Q73" i="50"/>
  <c r="AK73" i="50" s="1"/>
  <c r="P74" i="50"/>
  <c r="AJ74" i="50" s="1"/>
  <c r="P75" i="50"/>
  <c r="AJ75" i="50" s="1"/>
  <c r="P76" i="50"/>
  <c r="AJ76" i="50" s="1"/>
  <c r="P73" i="50"/>
  <c r="AJ73" i="50" s="1"/>
  <c r="O74" i="50"/>
  <c r="AI74" i="50" s="1"/>
  <c r="O75" i="50"/>
  <c r="O76" i="50"/>
  <c r="O73" i="50"/>
  <c r="N74" i="50"/>
  <c r="N75" i="50"/>
  <c r="N76" i="50"/>
  <c r="AH76" i="50" s="1"/>
  <c r="N73" i="50"/>
  <c r="M74" i="50"/>
  <c r="M75" i="50"/>
  <c r="AG75" i="50" s="1"/>
  <c r="M76" i="50"/>
  <c r="AG76" i="50" s="1"/>
  <c r="M73" i="50"/>
  <c r="L74" i="50"/>
  <c r="AF74" i="50" s="1"/>
  <c r="L75" i="50"/>
  <c r="AF75" i="50" s="1"/>
  <c r="L76" i="50"/>
  <c r="AF76" i="50" s="1"/>
  <c r="L73" i="50"/>
  <c r="AF73" i="50" s="1"/>
  <c r="AC34" i="50"/>
  <c r="AC35" i="50"/>
  <c r="AC36" i="50"/>
  <c r="AC37" i="50"/>
  <c r="AC38" i="50"/>
  <c r="AM38" i="50" s="1"/>
  <c r="AC39" i="50"/>
  <c r="AC40" i="50"/>
  <c r="AC41" i="50"/>
  <c r="AC33" i="50"/>
  <c r="AB34" i="50"/>
  <c r="AB35" i="50"/>
  <c r="AB36" i="50"/>
  <c r="AB37" i="50"/>
  <c r="AL37" i="50" s="1"/>
  <c r="AB38" i="50"/>
  <c r="AB39" i="50"/>
  <c r="AB40" i="50"/>
  <c r="AB41" i="50"/>
  <c r="AB33" i="50"/>
  <c r="AA34" i="50"/>
  <c r="AA35" i="50"/>
  <c r="AA36" i="50"/>
  <c r="AK36" i="50" s="1"/>
  <c r="AA37" i="50"/>
  <c r="AA38" i="50"/>
  <c r="AA39" i="50"/>
  <c r="AA40" i="50"/>
  <c r="AA41" i="50"/>
  <c r="AA33" i="50"/>
  <c r="Z34" i="50"/>
  <c r="Z35" i="50"/>
  <c r="AJ35" i="50" s="1"/>
  <c r="Z36" i="50"/>
  <c r="Z37" i="50"/>
  <c r="Z38" i="50"/>
  <c r="Z39" i="50"/>
  <c r="Z40" i="50"/>
  <c r="Z41" i="50"/>
  <c r="Z33" i="50"/>
  <c r="Y34" i="50"/>
  <c r="AI34" i="50" s="1"/>
  <c r="Y35" i="50"/>
  <c r="Y36" i="50"/>
  <c r="Y37" i="50"/>
  <c r="Y38" i="50"/>
  <c r="Y39" i="50"/>
  <c r="Y40" i="50"/>
  <c r="Y41" i="50"/>
  <c r="Y33" i="50"/>
  <c r="AI33" i="50" s="1"/>
  <c r="X34" i="50"/>
  <c r="X35" i="50"/>
  <c r="X36" i="50"/>
  <c r="X37" i="50"/>
  <c r="X38" i="50"/>
  <c r="X39" i="50"/>
  <c r="X40" i="50"/>
  <c r="X41" i="50"/>
  <c r="AH41" i="50" s="1"/>
  <c r="X33" i="50"/>
  <c r="W35" i="50"/>
  <c r="W36" i="50"/>
  <c r="W37" i="50"/>
  <c r="W38" i="50"/>
  <c r="W39" i="50"/>
  <c r="W40" i="50"/>
  <c r="W41" i="50"/>
  <c r="W34" i="50"/>
  <c r="V34" i="50"/>
  <c r="V35" i="50"/>
  <c r="V36" i="50"/>
  <c r="V37" i="50"/>
  <c r="V38" i="50"/>
  <c r="V39" i="50"/>
  <c r="V40" i="50"/>
  <c r="V41" i="50"/>
  <c r="V33" i="50"/>
  <c r="S34" i="50"/>
  <c r="S35" i="50"/>
  <c r="S36" i="50"/>
  <c r="S37" i="50"/>
  <c r="S38" i="50"/>
  <c r="S39" i="50"/>
  <c r="S40" i="50"/>
  <c r="S41" i="50"/>
  <c r="S33" i="50"/>
  <c r="R34" i="50"/>
  <c r="R35" i="50"/>
  <c r="R36" i="50"/>
  <c r="R37" i="50"/>
  <c r="R38" i="50"/>
  <c r="R39" i="50"/>
  <c r="R40" i="50"/>
  <c r="R41" i="50"/>
  <c r="R33" i="50"/>
  <c r="Q34" i="50"/>
  <c r="Q35" i="50"/>
  <c r="Q36" i="50"/>
  <c r="Q37" i="50"/>
  <c r="Q38" i="50"/>
  <c r="Q39" i="50"/>
  <c r="Q40" i="50"/>
  <c r="Q41" i="50"/>
  <c r="Q33" i="50"/>
  <c r="P34" i="50"/>
  <c r="P35" i="50"/>
  <c r="P36" i="50"/>
  <c r="P37" i="50"/>
  <c r="P38" i="50"/>
  <c r="P39" i="50"/>
  <c r="P40" i="50"/>
  <c r="P41" i="50"/>
  <c r="P33" i="50"/>
  <c r="O34" i="50"/>
  <c r="O35" i="50"/>
  <c r="O36" i="50"/>
  <c r="O37" i="50"/>
  <c r="O38" i="50"/>
  <c r="O39" i="50"/>
  <c r="O40" i="50"/>
  <c r="O41" i="50"/>
  <c r="O33" i="50"/>
  <c r="N34" i="50"/>
  <c r="N35" i="50"/>
  <c r="N36" i="50"/>
  <c r="N37" i="50"/>
  <c r="N38" i="50"/>
  <c r="N39" i="50"/>
  <c r="N40" i="50"/>
  <c r="N41" i="50"/>
  <c r="N33" i="50"/>
  <c r="M34" i="50"/>
  <c r="AG34" i="50" s="1"/>
  <c r="M35" i="50"/>
  <c r="AG35" i="50" s="1"/>
  <c r="M36" i="50"/>
  <c r="AG36" i="50" s="1"/>
  <c r="M37" i="50"/>
  <c r="AG37" i="50" s="1"/>
  <c r="M38" i="50"/>
  <c r="AG38" i="50" s="1"/>
  <c r="M39" i="50"/>
  <c r="AG39" i="50" s="1"/>
  <c r="M40" i="50"/>
  <c r="AG40" i="50" s="1"/>
  <c r="M41" i="50"/>
  <c r="M33" i="50"/>
  <c r="L36" i="50"/>
  <c r="L37" i="50"/>
  <c r="L38" i="50"/>
  <c r="L39" i="50"/>
  <c r="L40" i="50"/>
  <c r="L41" i="50"/>
  <c r="L35" i="50"/>
  <c r="L34" i="50"/>
  <c r="L33" i="50"/>
  <c r="AF33" i="50" s="1"/>
  <c r="L31" i="50"/>
  <c r="L30" i="50"/>
  <c r="L28" i="50"/>
  <c r="L27" i="50"/>
  <c r="L26" i="50"/>
  <c r="N95" i="50"/>
  <c r="AM20" i="50"/>
  <c r="AL20" i="50"/>
  <c r="AK20" i="50"/>
  <c r="AJ20" i="50"/>
  <c r="AI20" i="50"/>
  <c r="AH20" i="50"/>
  <c r="AG20" i="50"/>
  <c r="AF20" i="50"/>
  <c r="J42" i="1" l="1"/>
  <c r="K41" i="1"/>
  <c r="J41" i="1"/>
  <c r="L41" i="1"/>
  <c r="J40" i="1"/>
  <c r="K38" i="1"/>
  <c r="J38" i="1"/>
  <c r="L18" i="1"/>
  <c r="J18" i="1"/>
  <c r="AH73" i="50"/>
  <c r="AF81" i="50"/>
  <c r="AJ77" i="50"/>
  <c r="AL79" i="50"/>
  <c r="AH74" i="50"/>
  <c r="AI73" i="50"/>
  <c r="AK78" i="50"/>
  <c r="AM80" i="50"/>
  <c r="AI76" i="50"/>
  <c r="AK76" i="50"/>
  <c r="AG81" i="50"/>
  <c r="AK77" i="50"/>
  <c r="AM79" i="50"/>
  <c r="AH75" i="50"/>
  <c r="AG73" i="50"/>
  <c r="AI75" i="50"/>
  <c r="AK75" i="50"/>
  <c r="AG80" i="50"/>
  <c r="AM78" i="50"/>
  <c r="AG74" i="50"/>
  <c r="AM77" i="50"/>
  <c r="AF41" i="50"/>
  <c r="AF40" i="50"/>
  <c r="AF39" i="50"/>
  <c r="AH40" i="50"/>
  <c r="AI41" i="50"/>
  <c r="AJ33" i="50"/>
  <c r="AJ34" i="50"/>
  <c r="AK35" i="50"/>
  <c r="AL36" i="50"/>
  <c r="AM37" i="50"/>
  <c r="AI38" i="50"/>
  <c r="AK40" i="50"/>
  <c r="AL41" i="50"/>
  <c r="AM33" i="50"/>
  <c r="AM34" i="50"/>
  <c r="AG41" i="50"/>
  <c r="AM35" i="50"/>
  <c r="AF37" i="50"/>
  <c r="AH37" i="50"/>
  <c r="AJ39" i="50"/>
  <c r="AF36" i="50"/>
  <c r="AH35" i="50"/>
  <c r="AI36" i="50"/>
  <c r="AJ37" i="50"/>
  <c r="AK38" i="50"/>
  <c r="AL39" i="50"/>
  <c r="AM40" i="50"/>
  <c r="AH33" i="50"/>
  <c r="AH34" i="50"/>
  <c r="AI35" i="50"/>
  <c r="AJ36" i="50"/>
  <c r="AK37" i="50"/>
  <c r="AL38" i="50"/>
  <c r="AM39" i="50"/>
  <c r="AI37" i="50"/>
  <c r="AM41" i="50"/>
  <c r="AJ38" i="50"/>
  <c r="AL40" i="50"/>
  <c r="AH39" i="50"/>
  <c r="AI40" i="50"/>
  <c r="AK33" i="50"/>
  <c r="AK34" i="50"/>
  <c r="AL35" i="50"/>
  <c r="AM36" i="50"/>
  <c r="AH38" i="50"/>
  <c r="AI39" i="50"/>
  <c r="AJ40" i="50"/>
  <c r="AK41" i="50"/>
  <c r="AL33" i="50"/>
  <c r="AL34" i="50"/>
  <c r="AH36" i="50"/>
  <c r="AK39" i="50"/>
  <c r="AF34" i="50"/>
  <c r="AF35" i="50"/>
  <c r="AJ41" i="50"/>
  <c r="AF38" i="50"/>
  <c r="N40" i="5"/>
  <c r="N41" i="5"/>
  <c r="N42" i="5"/>
  <c r="N43" i="5"/>
  <c r="N22" i="5"/>
  <c r="N21" i="5"/>
  <c r="N20" i="5"/>
  <c r="N19" i="5"/>
  <c r="N39" i="5"/>
  <c r="N18" i="5"/>
  <c r="E33" i="5"/>
  <c r="E13" i="5"/>
  <c r="K64" i="5"/>
  <c r="M94" i="50" l="1"/>
  <c r="AM50" i="50"/>
  <c r="AM51" i="50"/>
  <c r="AM52" i="50"/>
  <c r="AM53" i="50"/>
  <c r="AM54" i="50"/>
  <c r="AM55" i="50"/>
  <c r="AM56" i="50"/>
  <c r="AM57" i="50"/>
  <c r="AM58" i="50"/>
  <c r="AM59" i="50"/>
  <c r="AM60" i="50"/>
  <c r="AL50" i="50"/>
  <c r="AL51" i="50"/>
  <c r="AL52" i="50"/>
  <c r="AL53" i="50"/>
  <c r="AL54" i="50"/>
  <c r="AL55" i="50"/>
  <c r="AL56" i="50"/>
  <c r="AL57" i="50"/>
  <c r="AL58" i="50"/>
  <c r="AL59" i="50"/>
  <c r="AL60" i="50"/>
  <c r="AK50" i="50"/>
  <c r="AK51" i="50"/>
  <c r="AK52" i="50"/>
  <c r="AK53" i="50"/>
  <c r="AK54" i="50"/>
  <c r="AK55" i="50"/>
  <c r="AK56" i="50"/>
  <c r="AK57" i="50"/>
  <c r="AK58" i="50"/>
  <c r="AK59" i="50"/>
  <c r="AK60" i="50"/>
  <c r="AJ50" i="50"/>
  <c r="AJ51" i="50"/>
  <c r="AJ52" i="50"/>
  <c r="AJ53" i="50"/>
  <c r="AJ54" i="50"/>
  <c r="AJ55" i="50"/>
  <c r="AJ56" i="50"/>
  <c r="AJ57" i="50"/>
  <c r="AJ58" i="50"/>
  <c r="AJ59" i="50"/>
  <c r="AJ60" i="50"/>
  <c r="AI50" i="50"/>
  <c r="AI51" i="50"/>
  <c r="AI52" i="50"/>
  <c r="AI53" i="50"/>
  <c r="AI54" i="50"/>
  <c r="AI55" i="50"/>
  <c r="AI56" i="50"/>
  <c r="AI57" i="50"/>
  <c r="AI58" i="50"/>
  <c r="AI59" i="50"/>
  <c r="AI60" i="50"/>
  <c r="AH50" i="50"/>
  <c r="AH51" i="50"/>
  <c r="AH52" i="50"/>
  <c r="AH53" i="50"/>
  <c r="AH54" i="50"/>
  <c r="AH55" i="50"/>
  <c r="AH56" i="50"/>
  <c r="AH57" i="50"/>
  <c r="AH58" i="50"/>
  <c r="AH59" i="50"/>
  <c r="AH60" i="50"/>
  <c r="AG50" i="50"/>
  <c r="AG51" i="50"/>
  <c r="AG52" i="50"/>
  <c r="AG53" i="50"/>
  <c r="AG54" i="50"/>
  <c r="AG55" i="50"/>
  <c r="AG56" i="50"/>
  <c r="AG57" i="50"/>
  <c r="AG58" i="50"/>
  <c r="AG59" i="50"/>
  <c r="AG60" i="50"/>
  <c r="AF50" i="50"/>
  <c r="AF51" i="50"/>
  <c r="AF52" i="50"/>
  <c r="AF53" i="50"/>
  <c r="AF54" i="50"/>
  <c r="AF55" i="50"/>
  <c r="AF56" i="50"/>
  <c r="AF57" i="50"/>
  <c r="AF58" i="50"/>
  <c r="AF59" i="50"/>
  <c r="AF60" i="50"/>
  <c r="AM10" i="50"/>
  <c r="AM11" i="50"/>
  <c r="AM12" i="50"/>
  <c r="AM13" i="50"/>
  <c r="AM14" i="50"/>
  <c r="AM15" i="50"/>
  <c r="AM16" i="50"/>
  <c r="AM17" i="50"/>
  <c r="AM18" i="50"/>
  <c r="AM19" i="50"/>
  <c r="AM21" i="50"/>
  <c r="AL10" i="50"/>
  <c r="AL11" i="50"/>
  <c r="AL12" i="50"/>
  <c r="AL13" i="50"/>
  <c r="AL14" i="50"/>
  <c r="AL15" i="50"/>
  <c r="AL16" i="50"/>
  <c r="AL17" i="50"/>
  <c r="AL18" i="50"/>
  <c r="AL19" i="50"/>
  <c r="AL21" i="50"/>
  <c r="AK10" i="50"/>
  <c r="AK11" i="50"/>
  <c r="AK12" i="50"/>
  <c r="AK13" i="50"/>
  <c r="AK14" i="50"/>
  <c r="AK15" i="50"/>
  <c r="AK16" i="50"/>
  <c r="AK17" i="50"/>
  <c r="AK18" i="50"/>
  <c r="AK19" i="50"/>
  <c r="AK21" i="50"/>
  <c r="AJ10" i="50"/>
  <c r="AJ11" i="50"/>
  <c r="AJ12" i="50"/>
  <c r="AJ13" i="50"/>
  <c r="AJ14" i="50"/>
  <c r="AJ15" i="50"/>
  <c r="AJ16" i="50"/>
  <c r="AJ17" i="50"/>
  <c r="AJ18" i="50"/>
  <c r="AJ19" i="50"/>
  <c r="AJ21" i="50"/>
  <c r="AI10" i="50"/>
  <c r="AI11" i="50"/>
  <c r="AI12" i="50"/>
  <c r="AI13" i="50"/>
  <c r="AI14" i="50"/>
  <c r="AI15" i="50"/>
  <c r="AI16" i="50"/>
  <c r="AI17" i="50"/>
  <c r="AI18" i="50"/>
  <c r="AI19" i="50"/>
  <c r="AI21" i="50"/>
  <c r="AH10" i="50"/>
  <c r="AH11" i="50"/>
  <c r="AH12" i="50"/>
  <c r="AH13" i="50"/>
  <c r="AH14" i="50"/>
  <c r="AH15" i="50"/>
  <c r="AH16" i="50"/>
  <c r="AH17" i="50"/>
  <c r="AH18" i="50"/>
  <c r="AH19" i="50"/>
  <c r="AH21" i="50"/>
  <c r="AG10" i="50"/>
  <c r="AG11" i="50"/>
  <c r="AG12" i="50"/>
  <c r="AG13" i="50"/>
  <c r="AG14" i="50"/>
  <c r="AG15" i="50"/>
  <c r="AG16" i="50"/>
  <c r="AG17" i="50"/>
  <c r="AG18" i="50"/>
  <c r="AG19" i="50"/>
  <c r="AG21" i="50"/>
  <c r="AF10" i="50"/>
  <c r="AF11" i="50"/>
  <c r="AF12" i="50"/>
  <c r="AF13" i="50"/>
  <c r="AF14" i="50"/>
  <c r="AF15" i="50"/>
  <c r="AF16" i="50"/>
  <c r="AF17" i="50"/>
  <c r="AF18" i="50"/>
  <c r="AF19" i="50"/>
  <c r="AF21" i="50"/>
  <c r="O32" i="50"/>
  <c r="L96" i="50"/>
  <c r="X7" i="50"/>
  <c r="X3" i="14"/>
  <c r="E1" i="35" l="1"/>
  <c r="F1" i="35"/>
  <c r="G1" i="35"/>
  <c r="H1" i="35"/>
  <c r="I1" i="35"/>
  <c r="J1" i="35"/>
  <c r="K1" i="35"/>
  <c r="L1" i="35"/>
  <c r="M1" i="35"/>
  <c r="N1" i="35"/>
  <c r="O1" i="35"/>
  <c r="P1" i="35"/>
  <c r="Q1" i="35"/>
  <c r="R1" i="35"/>
  <c r="S1" i="35"/>
  <c r="T1" i="35"/>
  <c r="U1" i="35"/>
  <c r="V1" i="35"/>
  <c r="W1" i="35"/>
  <c r="X1" i="35"/>
  <c r="Y1" i="35"/>
  <c r="Z1" i="35"/>
  <c r="AA1" i="35"/>
  <c r="AB1" i="35"/>
  <c r="AC1" i="35"/>
  <c r="AD1" i="35"/>
  <c r="AE1" i="35"/>
  <c r="AF1" i="35"/>
  <c r="AG1" i="35"/>
  <c r="AH1" i="35"/>
  <c r="AI1" i="35"/>
  <c r="AJ1" i="35"/>
  <c r="AK1" i="35"/>
  <c r="AL1" i="35"/>
  <c r="C1" i="35"/>
  <c r="D1" i="35"/>
  <c r="C1" i="44" l="1"/>
  <c r="D1" i="44"/>
  <c r="E1" i="44"/>
  <c r="F1" i="44"/>
  <c r="G1" i="44"/>
  <c r="H1" i="44"/>
  <c r="I1" i="44"/>
  <c r="J1" i="44"/>
  <c r="K1" i="44"/>
  <c r="L1" i="44"/>
  <c r="M1" i="44"/>
  <c r="N1" i="44"/>
  <c r="O1" i="44"/>
  <c r="P1" i="44"/>
  <c r="Q1" i="44"/>
  <c r="R1" i="44"/>
  <c r="S1" i="44"/>
  <c r="T1" i="44"/>
  <c r="U1" i="44"/>
  <c r="V1" i="44"/>
  <c r="W1" i="44"/>
  <c r="X1" i="44"/>
  <c r="Y1" i="44"/>
  <c r="Z1" i="44"/>
  <c r="AA1" i="44"/>
  <c r="AB1" i="44"/>
  <c r="AC1" i="44"/>
  <c r="AD1" i="44"/>
  <c r="AE1" i="44"/>
  <c r="AF1" i="44"/>
  <c r="AG1" i="44"/>
  <c r="AH1" i="44"/>
  <c r="AI1" i="44"/>
  <c r="AJ1" i="44"/>
  <c r="AK1" i="44"/>
  <c r="AL1" i="44"/>
  <c r="B1" i="44"/>
  <c r="A2" i="44"/>
  <c r="A3" i="44"/>
  <c r="A4" i="44"/>
  <c r="A5" i="44"/>
  <c r="A6" i="44"/>
  <c r="A7" i="44"/>
  <c r="A1" i="44"/>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AF1" i="43"/>
  <c r="AG1" i="43"/>
  <c r="AH1" i="43"/>
  <c r="AI1" i="43"/>
  <c r="AJ1" i="43"/>
  <c r="AK1" i="43"/>
  <c r="AL1" i="43"/>
  <c r="B1" i="43"/>
  <c r="A2" i="43"/>
  <c r="A3" i="43"/>
  <c r="A4" i="43"/>
  <c r="A5" i="43"/>
  <c r="A6" i="43"/>
  <c r="A7" i="43"/>
  <c r="A1" i="43"/>
  <c r="C1" i="42"/>
  <c r="D1" i="42"/>
  <c r="E1" i="42"/>
  <c r="F1" i="42"/>
  <c r="G1" i="42"/>
  <c r="H1" i="42"/>
  <c r="I1" i="42"/>
  <c r="J1" i="42"/>
  <c r="K1" i="42"/>
  <c r="L1" i="42"/>
  <c r="M1" i="42"/>
  <c r="N1" i="42"/>
  <c r="O1" i="42"/>
  <c r="P1" i="42"/>
  <c r="Q1" i="42"/>
  <c r="R1" i="42"/>
  <c r="S1" i="42"/>
  <c r="T1" i="42"/>
  <c r="U1" i="42"/>
  <c r="V1" i="42"/>
  <c r="W1" i="42"/>
  <c r="X1" i="42"/>
  <c r="Y1" i="42"/>
  <c r="Z1" i="42"/>
  <c r="AA1" i="42"/>
  <c r="AB1" i="42"/>
  <c r="AC1" i="42"/>
  <c r="AD1" i="42"/>
  <c r="AE1" i="42"/>
  <c r="AF1" i="42"/>
  <c r="AG1" i="42"/>
  <c r="AH1" i="42"/>
  <c r="AI1" i="42"/>
  <c r="AJ1" i="42"/>
  <c r="AK1" i="42"/>
  <c r="AL1" i="42"/>
  <c r="B1" i="42"/>
  <c r="A2" i="42"/>
  <c r="A3" i="42"/>
  <c r="A4" i="42"/>
  <c r="A5" i="42"/>
  <c r="A6" i="42"/>
  <c r="A7" i="42"/>
  <c r="A1" i="42"/>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AF1" i="41"/>
  <c r="AG1" i="41"/>
  <c r="AH1" i="41"/>
  <c r="AI1" i="41"/>
  <c r="AJ1" i="41"/>
  <c r="AK1" i="41"/>
  <c r="AL1" i="41"/>
  <c r="B1" i="41"/>
  <c r="A2" i="41"/>
  <c r="A3" i="41"/>
  <c r="A4" i="41"/>
  <c r="A5" i="41"/>
  <c r="A6" i="41"/>
  <c r="A7" i="41"/>
  <c r="A1" i="41"/>
  <c r="C1" i="40"/>
  <c r="D1" i="40"/>
  <c r="E1" i="40"/>
  <c r="F1" i="40"/>
  <c r="G1" i="40"/>
  <c r="H1" i="40"/>
  <c r="I1" i="40"/>
  <c r="J1" i="40"/>
  <c r="K1" i="40"/>
  <c r="L1" i="40"/>
  <c r="M1" i="40"/>
  <c r="N1" i="40"/>
  <c r="O1" i="40"/>
  <c r="P1" i="40"/>
  <c r="Q1" i="40"/>
  <c r="R1" i="40"/>
  <c r="S1" i="40"/>
  <c r="T1" i="40"/>
  <c r="U1" i="40"/>
  <c r="V1" i="40"/>
  <c r="W1" i="40"/>
  <c r="X1" i="40"/>
  <c r="Y1" i="40"/>
  <c r="Z1" i="40"/>
  <c r="AA1" i="40"/>
  <c r="AB1" i="40"/>
  <c r="AC1" i="40"/>
  <c r="AD1" i="40"/>
  <c r="AE1" i="40"/>
  <c r="AF1" i="40"/>
  <c r="AG1" i="40"/>
  <c r="AH1" i="40"/>
  <c r="AI1" i="40"/>
  <c r="AJ1" i="40"/>
  <c r="AK1" i="40"/>
  <c r="AL1" i="40"/>
  <c r="A2" i="40"/>
  <c r="A3" i="40"/>
  <c r="A4" i="40"/>
  <c r="A5" i="40"/>
  <c r="A6" i="40"/>
  <c r="A7" i="40"/>
  <c r="B1" i="40"/>
  <c r="A1" i="40"/>
  <c r="AU16" i="53"/>
  <c r="AU17" i="53" s="1"/>
  <c r="AU18" i="53" s="1"/>
  <c r="AU19" i="53" s="1"/>
  <c r="AU20" i="53" s="1"/>
  <c r="AU21" i="53" s="1"/>
  <c r="AU22" i="53" s="1"/>
  <c r="AU23" i="53" s="1"/>
  <c r="AU24" i="53" s="1"/>
  <c r="AU25" i="53" s="1"/>
  <c r="AU26" i="53" s="1"/>
  <c r="AU27" i="53" s="1"/>
  <c r="AU28" i="53" s="1"/>
  <c r="AU29" i="53" s="1"/>
  <c r="AU30" i="53" s="1"/>
  <c r="AU31" i="53" s="1"/>
  <c r="AU32" i="53" s="1"/>
  <c r="AU33" i="53" s="1"/>
  <c r="AU34" i="53" s="1"/>
  <c r="AU35" i="53" s="1"/>
  <c r="AU36" i="53" s="1"/>
  <c r="AU37" i="53" s="1"/>
  <c r="AU38" i="53" s="1"/>
  <c r="AU39" i="53" s="1"/>
  <c r="AU40" i="53" s="1"/>
  <c r="AU41" i="53" s="1"/>
  <c r="AU42" i="53" s="1"/>
  <c r="AU43" i="53" s="1"/>
  <c r="AU44" i="53" s="1"/>
  <c r="AU45" i="53" s="1"/>
  <c r="AU46" i="53" s="1"/>
  <c r="AU47" i="53" s="1"/>
  <c r="AU48" i="53" s="1"/>
  <c r="AU49" i="53" s="1"/>
  <c r="AT16" i="53"/>
  <c r="AT17" i="53" s="1"/>
  <c r="AT18" i="53" s="1"/>
  <c r="AT19" i="53" s="1"/>
  <c r="AT20" i="53" s="1"/>
  <c r="AT21" i="53" s="1"/>
  <c r="AT22" i="53" s="1"/>
  <c r="AT23" i="53" s="1"/>
  <c r="AT24" i="53" s="1"/>
  <c r="AT25" i="53" s="1"/>
  <c r="AT26" i="53" s="1"/>
  <c r="AT27" i="53" s="1"/>
  <c r="AT28" i="53" s="1"/>
  <c r="AT29" i="53" s="1"/>
  <c r="AT30" i="53" s="1"/>
  <c r="AT31" i="53" s="1"/>
  <c r="AT32" i="53" s="1"/>
  <c r="AT33" i="53" s="1"/>
  <c r="AT34" i="53" s="1"/>
  <c r="AT35" i="53" s="1"/>
  <c r="AT36" i="53" s="1"/>
  <c r="AT37" i="53" s="1"/>
  <c r="AT38" i="53" s="1"/>
  <c r="AT39" i="53" s="1"/>
  <c r="AT40" i="53" s="1"/>
  <c r="AT41" i="53" s="1"/>
  <c r="AT42" i="53" s="1"/>
  <c r="AT43" i="53" s="1"/>
  <c r="AT44" i="53" s="1"/>
  <c r="AT45" i="53" s="1"/>
  <c r="AT46" i="53" s="1"/>
  <c r="AT47" i="53" s="1"/>
  <c r="AT48" i="53" s="1"/>
  <c r="AT49" i="53" s="1"/>
  <c r="AK16" i="53"/>
  <c r="AK17" i="53" s="1"/>
  <c r="AK18" i="53" s="1"/>
  <c r="AK19" i="53" s="1"/>
  <c r="AK20" i="53" s="1"/>
  <c r="AK21" i="53" s="1"/>
  <c r="AK22" i="53" s="1"/>
  <c r="AK23" i="53" s="1"/>
  <c r="AK24" i="53" s="1"/>
  <c r="AK25" i="53" s="1"/>
  <c r="AK26" i="53" s="1"/>
  <c r="AK27" i="53" s="1"/>
  <c r="AK28" i="53" s="1"/>
  <c r="AK29" i="53" s="1"/>
  <c r="AK30" i="53" s="1"/>
  <c r="AK31" i="53" s="1"/>
  <c r="AK32" i="53" s="1"/>
  <c r="AK33" i="53" s="1"/>
  <c r="AK34" i="53" s="1"/>
  <c r="AK35" i="53" s="1"/>
  <c r="AK36" i="53" s="1"/>
  <c r="AK37" i="53" s="1"/>
  <c r="AK38" i="53" s="1"/>
  <c r="AK39" i="53" s="1"/>
  <c r="AK40" i="53" s="1"/>
  <c r="AK41" i="53" s="1"/>
  <c r="AK42" i="53" s="1"/>
  <c r="AK43" i="53" s="1"/>
  <c r="AK44" i="53" s="1"/>
  <c r="AK45" i="53" s="1"/>
  <c r="AK46" i="53" s="1"/>
  <c r="AK47" i="53" s="1"/>
  <c r="AK48" i="53" s="1"/>
  <c r="AK49" i="53" s="1"/>
  <c r="AJ16" i="53"/>
  <c r="AJ17" i="53" s="1"/>
  <c r="AJ18" i="53" s="1"/>
  <c r="AJ19" i="53" s="1"/>
  <c r="AJ20" i="53" s="1"/>
  <c r="AJ21" i="53" s="1"/>
  <c r="AJ22" i="53" s="1"/>
  <c r="AJ23" i="53" s="1"/>
  <c r="AJ24" i="53" s="1"/>
  <c r="AJ25" i="53" s="1"/>
  <c r="AJ26" i="53" s="1"/>
  <c r="AJ27" i="53" s="1"/>
  <c r="AJ28" i="53" s="1"/>
  <c r="AJ29" i="53" s="1"/>
  <c r="AJ30" i="53" s="1"/>
  <c r="AJ31" i="53" s="1"/>
  <c r="AJ32" i="53" s="1"/>
  <c r="AJ33" i="53" s="1"/>
  <c r="AJ34" i="53" s="1"/>
  <c r="AJ35" i="53" s="1"/>
  <c r="AJ36" i="53" s="1"/>
  <c r="AJ37" i="53" s="1"/>
  <c r="AJ38" i="53" s="1"/>
  <c r="AJ39" i="53" s="1"/>
  <c r="AJ40" i="53" s="1"/>
  <c r="AJ41" i="53" s="1"/>
  <c r="AJ42" i="53" s="1"/>
  <c r="AJ43" i="53" s="1"/>
  <c r="AJ44" i="53" s="1"/>
  <c r="AJ45" i="53" s="1"/>
  <c r="AJ46" i="53" s="1"/>
  <c r="AJ47" i="53" s="1"/>
  <c r="AJ48" i="53" s="1"/>
  <c r="AJ49" i="53" s="1"/>
  <c r="AA16" i="53"/>
  <c r="AA17" i="53" s="1"/>
  <c r="AA18" i="53" s="1"/>
  <c r="AA19" i="53" s="1"/>
  <c r="AA20" i="53" s="1"/>
  <c r="AA21" i="53" s="1"/>
  <c r="AA22" i="53" s="1"/>
  <c r="AA23" i="53" s="1"/>
  <c r="AA24" i="53" s="1"/>
  <c r="AA25" i="53" s="1"/>
  <c r="AA26" i="53" s="1"/>
  <c r="AA27" i="53" s="1"/>
  <c r="AA28" i="53" s="1"/>
  <c r="AA29" i="53" s="1"/>
  <c r="AA30" i="53" s="1"/>
  <c r="AA31" i="53" s="1"/>
  <c r="AA32" i="53" s="1"/>
  <c r="AA33" i="53" s="1"/>
  <c r="AA34" i="53" s="1"/>
  <c r="AA35" i="53" s="1"/>
  <c r="AA36" i="53" s="1"/>
  <c r="AA37" i="53" s="1"/>
  <c r="AA38" i="53" s="1"/>
  <c r="AA39" i="53" s="1"/>
  <c r="AA40" i="53" s="1"/>
  <c r="AA41" i="53" s="1"/>
  <c r="AA42" i="53" s="1"/>
  <c r="AA43" i="53" s="1"/>
  <c r="AA44" i="53" s="1"/>
  <c r="AA45" i="53" s="1"/>
  <c r="AA46" i="53" s="1"/>
  <c r="AA47" i="53" s="1"/>
  <c r="AA48" i="53" s="1"/>
  <c r="AA49" i="53" s="1"/>
  <c r="Z16" i="53"/>
  <c r="Z17" i="53" s="1"/>
  <c r="Z18" i="53" s="1"/>
  <c r="Z19" i="53" s="1"/>
  <c r="Z20" i="53" s="1"/>
  <c r="Z21" i="53" s="1"/>
  <c r="Z22" i="53" s="1"/>
  <c r="Z23" i="53" s="1"/>
  <c r="Z24" i="53" s="1"/>
  <c r="Z25" i="53" s="1"/>
  <c r="Z26" i="53" s="1"/>
  <c r="Z27" i="53" s="1"/>
  <c r="Z28" i="53" s="1"/>
  <c r="Z29" i="53" s="1"/>
  <c r="Z30" i="53" s="1"/>
  <c r="Z31" i="53" s="1"/>
  <c r="Z32" i="53" s="1"/>
  <c r="Z33" i="53" s="1"/>
  <c r="Z34" i="53" s="1"/>
  <c r="Z35" i="53" s="1"/>
  <c r="Z36" i="53" s="1"/>
  <c r="Z37" i="53" s="1"/>
  <c r="Z38" i="53" s="1"/>
  <c r="Z39" i="53" s="1"/>
  <c r="Z40" i="53" s="1"/>
  <c r="Z41" i="53" s="1"/>
  <c r="Z42" i="53" s="1"/>
  <c r="Z43" i="53" s="1"/>
  <c r="Z44" i="53" s="1"/>
  <c r="Z45" i="53" s="1"/>
  <c r="Z46" i="53" s="1"/>
  <c r="Z47" i="53" s="1"/>
  <c r="Z48" i="53" s="1"/>
  <c r="Z49" i="53" s="1"/>
  <c r="Y16" i="53"/>
  <c r="Y17" i="53" s="1"/>
  <c r="Y18" i="53" s="1"/>
  <c r="Y19" i="53" s="1"/>
  <c r="Y20" i="53" s="1"/>
  <c r="Y21" i="53" s="1"/>
  <c r="Y22" i="53" s="1"/>
  <c r="Y23" i="53" s="1"/>
  <c r="Y24" i="53" s="1"/>
  <c r="Y25" i="53" s="1"/>
  <c r="Y26" i="53" s="1"/>
  <c r="Y27" i="53" s="1"/>
  <c r="Y28" i="53" s="1"/>
  <c r="Y29" i="53" s="1"/>
  <c r="Y30" i="53" s="1"/>
  <c r="Y31" i="53" s="1"/>
  <c r="Y32" i="53" s="1"/>
  <c r="Y33" i="53" s="1"/>
  <c r="Y34" i="53" s="1"/>
  <c r="Y35" i="53" s="1"/>
  <c r="Y36" i="53" s="1"/>
  <c r="Y37" i="53" s="1"/>
  <c r="Y38" i="53" s="1"/>
  <c r="Y39" i="53" s="1"/>
  <c r="Y40" i="53" s="1"/>
  <c r="Y41" i="53" s="1"/>
  <c r="Y42" i="53" s="1"/>
  <c r="Y43" i="53" s="1"/>
  <c r="Y44" i="53" s="1"/>
  <c r="Y45" i="53" s="1"/>
  <c r="Y46" i="53" s="1"/>
  <c r="Y47" i="53" s="1"/>
  <c r="Y48" i="53" s="1"/>
  <c r="Y49" i="53" s="1"/>
  <c r="X16" i="53"/>
  <c r="X17" i="53" s="1"/>
  <c r="X18" i="53" s="1"/>
  <c r="X19" i="53" s="1"/>
  <c r="X20" i="53" s="1"/>
  <c r="X21" i="53" s="1"/>
  <c r="X22" i="53" s="1"/>
  <c r="X23" i="53" s="1"/>
  <c r="X24" i="53" s="1"/>
  <c r="X25" i="53" s="1"/>
  <c r="X26" i="53" s="1"/>
  <c r="X27" i="53" s="1"/>
  <c r="X28" i="53" s="1"/>
  <c r="X29" i="53" s="1"/>
  <c r="X30" i="53" s="1"/>
  <c r="X31" i="53" s="1"/>
  <c r="X32" i="53" s="1"/>
  <c r="X33" i="53" s="1"/>
  <c r="X34" i="53" s="1"/>
  <c r="X35" i="53" s="1"/>
  <c r="X36" i="53" s="1"/>
  <c r="X37" i="53" s="1"/>
  <c r="X38" i="53" s="1"/>
  <c r="X39" i="53" s="1"/>
  <c r="X40" i="53" s="1"/>
  <c r="X41" i="53" s="1"/>
  <c r="X42" i="53" s="1"/>
  <c r="X43" i="53" s="1"/>
  <c r="X44" i="53" s="1"/>
  <c r="X45" i="53" s="1"/>
  <c r="X46" i="53" s="1"/>
  <c r="X47" i="53" s="1"/>
  <c r="X48" i="53" s="1"/>
  <c r="X49" i="53" s="1"/>
  <c r="W16" i="53"/>
  <c r="W17" i="53" s="1"/>
  <c r="W18" i="53" s="1"/>
  <c r="W19" i="53" s="1"/>
  <c r="W20" i="53" s="1"/>
  <c r="W21" i="53" s="1"/>
  <c r="W22" i="53" s="1"/>
  <c r="W23" i="53" s="1"/>
  <c r="W24" i="53" s="1"/>
  <c r="W25" i="53" s="1"/>
  <c r="W26" i="53" s="1"/>
  <c r="W27" i="53" s="1"/>
  <c r="W28" i="53" s="1"/>
  <c r="W29" i="53" s="1"/>
  <c r="W30" i="53" s="1"/>
  <c r="W31" i="53" s="1"/>
  <c r="W32" i="53" s="1"/>
  <c r="W33" i="53" s="1"/>
  <c r="W34" i="53" s="1"/>
  <c r="W35" i="53" s="1"/>
  <c r="W36" i="53" s="1"/>
  <c r="W37" i="53" s="1"/>
  <c r="W38" i="53" s="1"/>
  <c r="W39" i="53" s="1"/>
  <c r="W40" i="53" s="1"/>
  <c r="W41" i="53" s="1"/>
  <c r="W42" i="53" s="1"/>
  <c r="W43" i="53" s="1"/>
  <c r="W44" i="53" s="1"/>
  <c r="W45" i="53" s="1"/>
  <c r="W46" i="53" s="1"/>
  <c r="W47" i="53" s="1"/>
  <c r="W48" i="53" s="1"/>
  <c r="W49" i="53" s="1"/>
  <c r="V16" i="53"/>
  <c r="Q16" i="53"/>
  <c r="Q17" i="53" s="1"/>
  <c r="Q18" i="53" s="1"/>
  <c r="Q19" i="53" s="1"/>
  <c r="Q20" i="53" s="1"/>
  <c r="Q21" i="53" s="1"/>
  <c r="Q22" i="53" s="1"/>
  <c r="Q23" i="53" s="1"/>
  <c r="Q24" i="53" s="1"/>
  <c r="Q25" i="53" s="1"/>
  <c r="Q26" i="53" s="1"/>
  <c r="Q27" i="53" s="1"/>
  <c r="Q28" i="53" s="1"/>
  <c r="Q29" i="53" s="1"/>
  <c r="Q30" i="53" s="1"/>
  <c r="Q31" i="53" s="1"/>
  <c r="Q32" i="53" s="1"/>
  <c r="Q33" i="53" s="1"/>
  <c r="Q34" i="53" s="1"/>
  <c r="Q35" i="53" s="1"/>
  <c r="Q36" i="53" s="1"/>
  <c r="Q37" i="53" s="1"/>
  <c r="Q38" i="53" s="1"/>
  <c r="Q39" i="53" s="1"/>
  <c r="Q40" i="53" s="1"/>
  <c r="Q41" i="53" s="1"/>
  <c r="Q42" i="53" s="1"/>
  <c r="Q43" i="53" s="1"/>
  <c r="Q44" i="53" s="1"/>
  <c r="Q45" i="53" s="1"/>
  <c r="Q46" i="53" s="1"/>
  <c r="Q47" i="53" s="1"/>
  <c r="Q48" i="53" s="1"/>
  <c r="Q49" i="53" s="1"/>
  <c r="P16" i="53"/>
  <c r="P17" i="53" s="1"/>
  <c r="P18" i="53" s="1"/>
  <c r="P19" i="53" s="1"/>
  <c r="P20" i="53" s="1"/>
  <c r="P21" i="53" s="1"/>
  <c r="P22" i="53" s="1"/>
  <c r="P23" i="53" s="1"/>
  <c r="P24" i="53" s="1"/>
  <c r="P25" i="53" s="1"/>
  <c r="P26" i="53" s="1"/>
  <c r="P27" i="53" s="1"/>
  <c r="P28" i="53" s="1"/>
  <c r="P29" i="53" s="1"/>
  <c r="P30" i="53" s="1"/>
  <c r="P31" i="53" s="1"/>
  <c r="P32" i="53" s="1"/>
  <c r="P33" i="53" s="1"/>
  <c r="P34" i="53" s="1"/>
  <c r="P35" i="53" s="1"/>
  <c r="P36" i="53" s="1"/>
  <c r="P37" i="53" s="1"/>
  <c r="P38" i="53" s="1"/>
  <c r="P39" i="53" s="1"/>
  <c r="P40" i="53" s="1"/>
  <c r="P41" i="53" s="1"/>
  <c r="P42" i="53" s="1"/>
  <c r="P43" i="53" s="1"/>
  <c r="P44" i="53" s="1"/>
  <c r="P45" i="53" s="1"/>
  <c r="P46" i="53" s="1"/>
  <c r="P47" i="53" s="1"/>
  <c r="P48" i="53" s="1"/>
  <c r="P49" i="53" s="1"/>
  <c r="G16" i="53"/>
  <c r="G17" i="53" s="1"/>
  <c r="G18" i="53" s="1"/>
  <c r="G19" i="53" s="1"/>
  <c r="G20" i="53" s="1"/>
  <c r="G21" i="53" s="1"/>
  <c r="G22" i="53" s="1"/>
  <c r="G23" i="53" s="1"/>
  <c r="G24" i="53" s="1"/>
  <c r="G25" i="53" s="1"/>
  <c r="G26" i="53" s="1"/>
  <c r="G27" i="53" s="1"/>
  <c r="G28" i="53" s="1"/>
  <c r="G29" i="53" s="1"/>
  <c r="G30" i="53" s="1"/>
  <c r="G31" i="53" s="1"/>
  <c r="G32" i="53" s="1"/>
  <c r="G33" i="53" s="1"/>
  <c r="G34" i="53" s="1"/>
  <c r="G35" i="53" s="1"/>
  <c r="G36" i="53" s="1"/>
  <c r="G37" i="53" s="1"/>
  <c r="G38" i="53" s="1"/>
  <c r="G39" i="53" s="1"/>
  <c r="G40" i="53" s="1"/>
  <c r="G41" i="53" s="1"/>
  <c r="G42" i="53" s="1"/>
  <c r="G43" i="53" s="1"/>
  <c r="G44" i="53" s="1"/>
  <c r="G45" i="53" s="1"/>
  <c r="G46" i="53" s="1"/>
  <c r="G47" i="53" s="1"/>
  <c r="G48" i="53" s="1"/>
  <c r="G49" i="53" s="1"/>
  <c r="F16" i="53"/>
  <c r="F17" i="53" s="1"/>
  <c r="F18" i="53" s="1"/>
  <c r="F19" i="53" s="1"/>
  <c r="F20" i="53" s="1"/>
  <c r="F21" i="53" s="1"/>
  <c r="F22" i="53" s="1"/>
  <c r="F23" i="53" s="1"/>
  <c r="F24" i="53" s="1"/>
  <c r="F25" i="53" s="1"/>
  <c r="F26" i="53" s="1"/>
  <c r="F27" i="53" s="1"/>
  <c r="F28" i="53" s="1"/>
  <c r="F29" i="53" s="1"/>
  <c r="F30" i="53" s="1"/>
  <c r="F31" i="53" s="1"/>
  <c r="F32" i="53" s="1"/>
  <c r="F33" i="53" s="1"/>
  <c r="F34" i="53" s="1"/>
  <c r="F35" i="53" s="1"/>
  <c r="F36" i="53" s="1"/>
  <c r="F37" i="53" s="1"/>
  <c r="F38" i="53" s="1"/>
  <c r="F39" i="53" s="1"/>
  <c r="F40" i="53" s="1"/>
  <c r="F41" i="53" s="1"/>
  <c r="F42" i="53" s="1"/>
  <c r="F43" i="53" s="1"/>
  <c r="F44" i="53" s="1"/>
  <c r="F45" i="53" s="1"/>
  <c r="F46" i="53" s="1"/>
  <c r="F47" i="53" s="1"/>
  <c r="F48" i="53" s="1"/>
  <c r="F49" i="53" s="1"/>
  <c r="G10" i="53"/>
  <c r="F10" i="53"/>
  <c r="G9" i="53"/>
  <c r="F9" i="53"/>
  <c r="G8" i="53"/>
  <c r="F8" i="53"/>
  <c r="G7" i="53"/>
  <c r="F7" i="53"/>
  <c r="G6" i="53"/>
  <c r="F6" i="53"/>
  <c r="C1" i="39"/>
  <c r="D1" i="39"/>
  <c r="E1" i="39"/>
  <c r="F1" i="39"/>
  <c r="G1" i="39"/>
  <c r="H1" i="39"/>
  <c r="I1" i="39"/>
  <c r="J1" i="39"/>
  <c r="K1" i="39"/>
  <c r="L1" i="39"/>
  <c r="M1" i="39"/>
  <c r="N1" i="39"/>
  <c r="O1" i="39"/>
  <c r="P1" i="39"/>
  <c r="Q1" i="39"/>
  <c r="R1" i="39"/>
  <c r="S1" i="39"/>
  <c r="T1" i="39"/>
  <c r="U1" i="39"/>
  <c r="V1" i="39"/>
  <c r="W1" i="39"/>
  <c r="X1" i="39"/>
  <c r="Y1" i="39"/>
  <c r="Z1" i="39"/>
  <c r="AA1" i="39"/>
  <c r="AB1" i="39"/>
  <c r="AC1" i="39"/>
  <c r="AD1" i="39"/>
  <c r="AE1" i="39"/>
  <c r="AF1" i="39"/>
  <c r="AG1" i="39"/>
  <c r="AH1" i="39"/>
  <c r="AI1" i="39"/>
  <c r="AJ1" i="39"/>
  <c r="AK1" i="39"/>
  <c r="AL1" i="39"/>
  <c r="B1" i="39"/>
  <c r="A2" i="39"/>
  <c r="A3" i="39"/>
  <c r="A4" i="39"/>
  <c r="A5" i="39"/>
  <c r="A6" i="39"/>
  <c r="A7" i="39"/>
  <c r="A1" i="39"/>
  <c r="C1" i="38"/>
  <c r="D1" i="38"/>
  <c r="E1" i="38"/>
  <c r="F1" i="38"/>
  <c r="G1" i="38"/>
  <c r="H1" i="38"/>
  <c r="I1" i="38"/>
  <c r="J1" i="38"/>
  <c r="K1" i="38"/>
  <c r="L1" i="38"/>
  <c r="M1" i="38"/>
  <c r="N1" i="38"/>
  <c r="O1" i="38"/>
  <c r="P1" i="38"/>
  <c r="Q1" i="38"/>
  <c r="R1" i="38"/>
  <c r="S1" i="38"/>
  <c r="T1" i="38"/>
  <c r="U1" i="38"/>
  <c r="V1" i="38"/>
  <c r="W1" i="38"/>
  <c r="X1" i="38"/>
  <c r="Y1" i="38"/>
  <c r="Z1" i="38"/>
  <c r="AA1" i="38"/>
  <c r="AB1" i="38"/>
  <c r="AC1" i="38"/>
  <c r="AD1" i="38"/>
  <c r="AE1" i="38"/>
  <c r="AF1" i="38"/>
  <c r="AG1" i="38"/>
  <c r="AH1" i="38"/>
  <c r="AI1" i="38"/>
  <c r="AJ1" i="38"/>
  <c r="AK1" i="38"/>
  <c r="AL1" i="38"/>
  <c r="B1" i="38"/>
  <c r="A2" i="38"/>
  <c r="A3" i="38"/>
  <c r="A4" i="38"/>
  <c r="A5" i="38"/>
  <c r="A6" i="38"/>
  <c r="A7" i="38"/>
  <c r="A1" i="38"/>
  <c r="C1" i="32"/>
  <c r="D1" i="32"/>
  <c r="E1" i="32"/>
  <c r="F1" i="32"/>
  <c r="G1" i="32"/>
  <c r="H1" i="32"/>
  <c r="I1" i="32"/>
  <c r="J1" i="32"/>
  <c r="K1" i="32"/>
  <c r="L1" i="32"/>
  <c r="M1" i="32"/>
  <c r="N1" i="32"/>
  <c r="O1" i="32"/>
  <c r="P1" i="32"/>
  <c r="Q1" i="32"/>
  <c r="R1" i="32"/>
  <c r="S1" i="32"/>
  <c r="T1" i="32"/>
  <c r="U1" i="32"/>
  <c r="V1" i="32"/>
  <c r="W1" i="32"/>
  <c r="X1" i="32"/>
  <c r="Y1" i="32"/>
  <c r="Z1" i="32"/>
  <c r="AA1" i="32"/>
  <c r="AB1" i="32"/>
  <c r="AC1" i="32"/>
  <c r="AD1" i="32"/>
  <c r="AE1" i="32"/>
  <c r="AF1" i="32"/>
  <c r="AG1" i="32"/>
  <c r="AH1" i="32"/>
  <c r="AI1" i="32"/>
  <c r="AJ1" i="32"/>
  <c r="AK1" i="32"/>
  <c r="AL1" i="32"/>
  <c r="B1" i="32"/>
  <c r="A2" i="32"/>
  <c r="A3" i="32"/>
  <c r="A4" i="32"/>
  <c r="A5" i="32"/>
  <c r="A6" i="32"/>
  <c r="A7" i="32"/>
  <c r="A1" i="32"/>
  <c r="C1" i="33"/>
  <c r="D1" i="33"/>
  <c r="E1" i="33"/>
  <c r="F1" i="33"/>
  <c r="G1" i="33"/>
  <c r="H1" i="33"/>
  <c r="I1" i="33"/>
  <c r="J1" i="33"/>
  <c r="K1" i="33"/>
  <c r="L1" i="33"/>
  <c r="M1" i="33"/>
  <c r="N1" i="33"/>
  <c r="O1" i="33"/>
  <c r="P1" i="33"/>
  <c r="Q1" i="33"/>
  <c r="R1" i="33"/>
  <c r="S1" i="33"/>
  <c r="T1" i="33"/>
  <c r="U1" i="33"/>
  <c r="V1" i="33"/>
  <c r="W1" i="33"/>
  <c r="X1" i="33"/>
  <c r="Y1" i="33"/>
  <c r="Z1" i="33"/>
  <c r="AA1" i="33"/>
  <c r="AB1" i="33"/>
  <c r="AC1" i="33"/>
  <c r="AD1" i="33"/>
  <c r="AE1" i="33"/>
  <c r="AF1" i="33"/>
  <c r="AG1" i="33"/>
  <c r="AH1" i="33"/>
  <c r="AI1" i="33"/>
  <c r="AJ1" i="33"/>
  <c r="AK1" i="33"/>
  <c r="AL1" i="33"/>
  <c r="B1" i="33"/>
  <c r="B1" i="35"/>
  <c r="V17" i="53" l="1"/>
  <c r="V18" i="53" s="1"/>
  <c r="V19" i="53" s="1"/>
  <c r="V20" i="53" s="1"/>
  <c r="V21" i="53" s="1"/>
  <c r="V22" i="53" s="1"/>
  <c r="V23" i="53" s="1"/>
  <c r="V24" i="53" s="1"/>
  <c r="V25" i="53" s="1"/>
  <c r="V26" i="53" s="1"/>
  <c r="V27" i="53" s="1"/>
  <c r="V28" i="53" s="1"/>
  <c r="V29" i="53" s="1"/>
  <c r="V30" i="53" s="1"/>
  <c r="V31" i="53" s="1"/>
  <c r="V32" i="53" s="1"/>
  <c r="V33" i="53" s="1"/>
  <c r="V34" i="53" s="1"/>
  <c r="V35" i="53" s="1"/>
  <c r="V36" i="53" s="1"/>
  <c r="V37" i="53" s="1"/>
  <c r="V38" i="53" s="1"/>
  <c r="V39" i="53" s="1"/>
  <c r="V40" i="53" s="1"/>
  <c r="V41" i="53" s="1"/>
  <c r="V42" i="53" s="1"/>
  <c r="V43" i="53" s="1"/>
  <c r="V44" i="53" s="1"/>
  <c r="V45" i="53" s="1"/>
  <c r="V46" i="53" s="1"/>
  <c r="V47" i="53" s="1"/>
  <c r="V48" i="53" s="1"/>
  <c r="V49" i="53" s="1"/>
  <c r="C23" i="54" l="1" a="1"/>
  <c r="AT28" i="54" l="1"/>
  <c r="AP28" i="54"/>
  <c r="AL28" i="54"/>
  <c r="AH28" i="54"/>
  <c r="AD28" i="54"/>
  <c r="Z28" i="54"/>
  <c r="V28" i="54"/>
  <c r="R28" i="54"/>
  <c r="N28" i="54"/>
  <c r="J28" i="54"/>
  <c r="F28" i="54"/>
  <c r="AU27" i="54"/>
  <c r="AQ27" i="54"/>
  <c r="AM27" i="54"/>
  <c r="AI27" i="54"/>
  <c r="AE27" i="54"/>
  <c r="AA27" i="54"/>
  <c r="W27" i="54"/>
  <c r="S27" i="54"/>
  <c r="O27" i="54"/>
  <c r="K27" i="54"/>
  <c r="G27" i="54"/>
  <c r="C27" i="54"/>
  <c r="AR26" i="54"/>
  <c r="AN26" i="54"/>
  <c r="AJ26" i="54"/>
  <c r="AF26" i="54"/>
  <c r="AB26" i="54"/>
  <c r="X26" i="54"/>
  <c r="T26" i="54"/>
  <c r="P26" i="54"/>
  <c r="L26" i="54"/>
  <c r="H26" i="54"/>
  <c r="D26" i="54"/>
  <c r="AS25" i="54"/>
  <c r="AO25" i="54"/>
  <c r="AK25" i="54"/>
  <c r="AG25" i="54"/>
  <c r="AC25" i="54"/>
  <c r="Y25" i="54"/>
  <c r="U25" i="54"/>
  <c r="Q25" i="54"/>
  <c r="M25" i="54"/>
  <c r="I25" i="54"/>
  <c r="E25" i="54"/>
  <c r="AT24" i="54"/>
  <c r="AP24" i="54"/>
  <c r="AL24" i="54"/>
  <c r="AH24" i="54"/>
  <c r="AD24" i="54"/>
  <c r="Z24" i="54"/>
  <c r="V24" i="54"/>
  <c r="R24" i="54"/>
  <c r="N24" i="54"/>
  <c r="J24" i="54"/>
  <c r="F24" i="54"/>
  <c r="AU23" i="54"/>
  <c r="AQ23" i="54"/>
  <c r="AM23" i="54"/>
  <c r="AI23" i="54"/>
  <c r="AE23" i="54"/>
  <c r="AA23" i="54"/>
  <c r="W23" i="54"/>
  <c r="S23" i="54"/>
  <c r="O23" i="54"/>
  <c r="K23" i="54"/>
  <c r="G23" i="54"/>
  <c r="C23" i="54"/>
  <c r="AS28" i="54"/>
  <c r="AO28" i="54"/>
  <c r="AK28" i="54"/>
  <c r="AG28" i="54"/>
  <c r="AC28" i="54"/>
  <c r="Y28" i="54"/>
  <c r="U28" i="54"/>
  <c r="Q28" i="54"/>
  <c r="M28" i="54"/>
  <c r="I28" i="54"/>
  <c r="E28" i="54"/>
  <c r="AT27" i="54"/>
  <c r="AP27" i="54"/>
  <c r="AL27" i="54"/>
  <c r="AH27" i="54"/>
  <c r="AD27" i="54"/>
  <c r="Z27" i="54"/>
  <c r="V27" i="54"/>
  <c r="R27" i="54"/>
  <c r="N27" i="54"/>
  <c r="J27" i="54"/>
  <c r="F27" i="54"/>
  <c r="AU26" i="54"/>
  <c r="AQ26" i="54"/>
  <c r="AM26" i="54"/>
  <c r="AI26" i="54"/>
  <c r="AE26" i="54"/>
  <c r="AA26" i="54"/>
  <c r="W26" i="54"/>
  <c r="S26" i="54"/>
  <c r="O26" i="54"/>
  <c r="K26" i="54"/>
  <c r="G26" i="54"/>
  <c r="C26" i="54"/>
  <c r="AR25" i="54"/>
  <c r="AN25" i="54"/>
  <c r="AJ25" i="54"/>
  <c r="AF25" i="54"/>
  <c r="AB25" i="54"/>
  <c r="X25" i="54"/>
  <c r="T25" i="54"/>
  <c r="P25" i="54"/>
  <c r="L25" i="54"/>
  <c r="H25" i="54"/>
  <c r="D25" i="54"/>
  <c r="AS24" i="54"/>
  <c r="AO24" i="54"/>
  <c r="AK24" i="54"/>
  <c r="AG24" i="54"/>
  <c r="AC24" i="54"/>
  <c r="Y24" i="54"/>
  <c r="U24" i="54"/>
  <c r="Q24" i="54"/>
  <c r="M24" i="54"/>
  <c r="I24" i="54"/>
  <c r="E24" i="54"/>
  <c r="AT23" i="54"/>
  <c r="AP23" i="54"/>
  <c r="AL23" i="54"/>
  <c r="AH23" i="54"/>
  <c r="AD23" i="54"/>
  <c r="Z23" i="54"/>
  <c r="V23" i="54"/>
  <c r="R23" i="54"/>
  <c r="N23" i="54"/>
  <c r="J23" i="54"/>
  <c r="F23" i="54"/>
  <c r="AR28" i="54"/>
  <c r="AJ28" i="54"/>
  <c r="AB28" i="54"/>
  <c r="T28" i="54"/>
  <c r="L28" i="54"/>
  <c r="D28" i="54"/>
  <c r="AO27" i="54"/>
  <c r="AG27" i="54"/>
  <c r="Y27" i="54"/>
  <c r="Q27" i="54"/>
  <c r="I27" i="54"/>
  <c r="AT26" i="54"/>
  <c r="AL26" i="54"/>
  <c r="AD26" i="54"/>
  <c r="V26" i="54"/>
  <c r="N26" i="54"/>
  <c r="F26" i="54"/>
  <c r="AQ25" i="54"/>
  <c r="AI25" i="54"/>
  <c r="AA25" i="54"/>
  <c r="S25" i="54"/>
  <c r="K25" i="54"/>
  <c r="C25" i="54"/>
  <c r="AN24" i="54"/>
  <c r="AF24" i="54"/>
  <c r="X24" i="54"/>
  <c r="P24" i="54"/>
  <c r="H24" i="54"/>
  <c r="AS23" i="54"/>
  <c r="AK23" i="54"/>
  <c r="AC23" i="54"/>
  <c r="U23" i="54"/>
  <c r="M23" i="54"/>
  <c r="E23" i="54"/>
  <c r="AQ28" i="54"/>
  <c r="AI28" i="54"/>
  <c r="AA28" i="54"/>
  <c r="S28" i="54"/>
  <c r="K28" i="54"/>
  <c r="C28" i="54"/>
  <c r="AN27" i="54"/>
  <c r="AF27" i="54"/>
  <c r="X27" i="54"/>
  <c r="P27" i="54"/>
  <c r="H27" i="54"/>
  <c r="AS26" i="54"/>
  <c r="AK26" i="54"/>
  <c r="AC26" i="54"/>
  <c r="U26" i="54"/>
  <c r="M26" i="54"/>
  <c r="E26" i="54"/>
  <c r="AP25" i="54"/>
  <c r="AH25" i="54"/>
  <c r="Z25" i="54"/>
  <c r="R25" i="54"/>
  <c r="J25" i="54"/>
  <c r="AU24" i="54"/>
  <c r="AM24" i="54"/>
  <c r="AE24" i="54"/>
  <c r="W24" i="54"/>
  <c r="O24" i="54"/>
  <c r="G24" i="54"/>
  <c r="AR23" i="54"/>
  <c r="AJ23" i="54"/>
  <c r="AB23" i="54"/>
  <c r="T23" i="54"/>
  <c r="L23" i="54"/>
  <c r="D23" i="54"/>
  <c r="AN28" i="54"/>
  <c r="AF28" i="54"/>
  <c r="X28" i="54"/>
  <c r="P28" i="54"/>
  <c r="H28" i="54"/>
  <c r="AS27" i="54"/>
  <c r="AK27" i="54"/>
  <c r="AC27" i="54"/>
  <c r="U27" i="54"/>
  <c r="M27" i="54"/>
  <c r="E27" i="54"/>
  <c r="AP26" i="54"/>
  <c r="AH26" i="54"/>
  <c r="Z26" i="54"/>
  <c r="R26" i="54"/>
  <c r="J26" i="54"/>
  <c r="AU25" i="54"/>
  <c r="AM25" i="54"/>
  <c r="AE25" i="54"/>
  <c r="W25" i="54"/>
  <c r="O25" i="54"/>
  <c r="G25" i="54"/>
  <c r="AR24" i="54"/>
  <c r="AJ24" i="54"/>
  <c r="AB24" i="54"/>
  <c r="T24" i="54"/>
  <c r="L24" i="54"/>
  <c r="D24" i="54"/>
  <c r="AO23" i="54"/>
  <c r="AG23" i="54"/>
  <c r="Y23" i="54"/>
  <c r="Q23" i="54"/>
  <c r="I23" i="54"/>
  <c r="AU28" i="54"/>
  <c r="AM28" i="54"/>
  <c r="AE28" i="54"/>
  <c r="W28" i="54"/>
  <c r="O28" i="54"/>
  <c r="G28" i="54"/>
  <c r="AR27" i="54"/>
  <c r="AJ27" i="54"/>
  <c r="AB27" i="54"/>
  <c r="T27" i="54"/>
  <c r="L27" i="54"/>
  <c r="D27" i="54"/>
  <c r="AO26" i="54"/>
  <c r="AG26" i="54"/>
  <c r="Y26" i="54"/>
  <c r="Q26" i="54"/>
  <c r="I26" i="54"/>
  <c r="AT25" i="54"/>
  <c r="AL25" i="54"/>
  <c r="AD25" i="54"/>
  <c r="V25" i="54"/>
  <c r="N25" i="54"/>
  <c r="F25" i="54"/>
  <c r="AQ24" i="54"/>
  <c r="AI24" i="54"/>
  <c r="AA24" i="54"/>
  <c r="S24" i="54"/>
  <c r="K24" i="54"/>
  <c r="C24" i="54"/>
  <c r="AN23" i="54"/>
  <c r="AF23" i="54"/>
  <c r="X23" i="54"/>
  <c r="P23" i="54"/>
  <c r="H23" i="54"/>
  <c r="B9" i="22" l="1"/>
  <c r="H54" i="5"/>
  <c r="Y120" i="20"/>
  <c r="N8" i="10" l="1"/>
  <c r="W8" i="10" s="1"/>
  <c r="N9" i="10"/>
  <c r="W9" i="10" s="1"/>
  <c r="N10" i="10"/>
  <c r="W10" i="10" s="1"/>
  <c r="N11" i="10"/>
  <c r="W11" i="10" s="1"/>
  <c r="N12" i="10"/>
  <c r="W12" i="10" s="1"/>
  <c r="N13" i="10"/>
  <c r="W13" i="10" s="1"/>
  <c r="N14" i="10"/>
  <c r="W14" i="10" s="1"/>
  <c r="N15" i="10"/>
  <c r="W15" i="10" s="1"/>
  <c r="N16" i="10"/>
  <c r="W16" i="10" s="1"/>
  <c r="N17" i="10"/>
  <c r="W17" i="10" s="1"/>
  <c r="N7" i="10"/>
  <c r="W7" i="10" s="1"/>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6" i="10"/>
  <c r="V25" i="10"/>
  <c r="V24" i="10"/>
  <c r="V23" i="10"/>
  <c r="V22" i="10"/>
  <c r="V21" i="10"/>
  <c r="V20" i="10"/>
  <c r="V19" i="10"/>
  <c r="V18" i="10"/>
  <c r="E11" i="10"/>
  <c r="E7" i="10"/>
  <c r="AO4" i="14"/>
  <c r="E8" i="10" s="1"/>
  <c r="AO5" i="14"/>
  <c r="AO6" i="14"/>
  <c r="E10" i="10" s="1"/>
  <c r="AO7" i="14"/>
  <c r="AO8" i="14"/>
  <c r="E12" i="10" s="1"/>
  <c r="AO9" i="14"/>
  <c r="AO10" i="14"/>
  <c r="E14" i="10" s="1"/>
  <c r="AO11" i="14"/>
  <c r="AO12" i="14"/>
  <c r="E16" i="10" s="1"/>
  <c r="AO13" i="14"/>
  <c r="AO3" i="14"/>
  <c r="C13" i="14"/>
  <c r="AJ65" i="52"/>
  <c r="AJ64" i="52"/>
  <c r="AJ63" i="52"/>
  <c r="V62" i="52"/>
  <c r="U62" i="52"/>
  <c r="AP61" i="52"/>
  <c r="AO61" i="52"/>
  <c r="U61" i="52"/>
  <c r="W61" i="52" s="1"/>
  <c r="T61" i="52"/>
  <c r="AP60" i="52"/>
  <c r="AO60" i="52"/>
  <c r="AI60" i="52"/>
  <c r="AG60" i="52"/>
  <c r="AC60" i="52"/>
  <c r="AE60" i="52" s="1"/>
  <c r="U60" i="52"/>
  <c r="W60" i="52" s="1"/>
  <c r="T60" i="52"/>
  <c r="AP59" i="52"/>
  <c r="AO59" i="52"/>
  <c r="AI59" i="52"/>
  <c r="AG59" i="52"/>
  <c r="AC59" i="52"/>
  <c r="AJ59" i="52" s="1"/>
  <c r="U59" i="52"/>
  <c r="W59" i="52" s="1"/>
  <c r="T59" i="52"/>
  <c r="AP58" i="52"/>
  <c r="AO58" i="52"/>
  <c r="AI58" i="52"/>
  <c r="AG58" i="52"/>
  <c r="AC58" i="52"/>
  <c r="AE58" i="52" s="1"/>
  <c r="U58" i="52"/>
  <c r="W58" i="52" s="1"/>
  <c r="T58" i="52"/>
  <c r="AP57" i="52"/>
  <c r="AO57" i="52"/>
  <c r="AI57" i="52"/>
  <c r="AG57" i="52"/>
  <c r="AC57" i="52"/>
  <c r="U57" i="52"/>
  <c r="W57" i="52" s="1"/>
  <c r="T57" i="52"/>
  <c r="AP56" i="52"/>
  <c r="AO56" i="52"/>
  <c r="AI56" i="52"/>
  <c r="AG56" i="52"/>
  <c r="AC56" i="52"/>
  <c r="AJ56" i="52" s="1"/>
  <c r="U56" i="52"/>
  <c r="W56" i="52" s="1"/>
  <c r="T56" i="52"/>
  <c r="AP55" i="52"/>
  <c r="AO55" i="52"/>
  <c r="U55" i="52"/>
  <c r="W55" i="52" s="1"/>
  <c r="T55" i="52"/>
  <c r="V54" i="52"/>
  <c r="U54" i="52"/>
  <c r="V53" i="52"/>
  <c r="U53" i="52"/>
  <c r="B53" i="52"/>
  <c r="V52" i="52"/>
  <c r="U52" i="52"/>
  <c r="B52" i="52"/>
  <c r="V51" i="52"/>
  <c r="D51" i="52"/>
  <c r="P45" i="52"/>
  <c r="F45" i="52"/>
  <c r="AP43" i="52"/>
  <c r="AP42" i="52"/>
  <c r="V41" i="52"/>
  <c r="T41" i="52"/>
  <c r="O41" i="52"/>
  <c r="C41" i="52"/>
  <c r="AN41" i="52" s="1"/>
  <c r="AP40" i="52"/>
  <c r="AO40" i="52"/>
  <c r="AE40" i="52"/>
  <c r="AD40" i="52"/>
  <c r="V40" i="52"/>
  <c r="T40" i="52"/>
  <c r="O40" i="52"/>
  <c r="AP39" i="52"/>
  <c r="AO39" i="52"/>
  <c r="AE39" i="52"/>
  <c r="AD39" i="52"/>
  <c r="V39" i="52"/>
  <c r="T39" i="52"/>
  <c r="O39" i="52"/>
  <c r="AP38" i="52"/>
  <c r="AO38" i="52"/>
  <c r="AE38" i="52"/>
  <c r="AD38" i="52"/>
  <c r="AJ38" i="52" s="1"/>
  <c r="V38" i="52"/>
  <c r="T38" i="52"/>
  <c r="O38" i="52"/>
  <c r="AP37" i="52"/>
  <c r="AO37" i="52"/>
  <c r="AE37" i="52"/>
  <c r="AD37" i="52"/>
  <c r="V37" i="52"/>
  <c r="T37" i="52"/>
  <c r="O37" i="52"/>
  <c r="AP36" i="52"/>
  <c r="AO36" i="52"/>
  <c r="AE36" i="52"/>
  <c r="AD36" i="52"/>
  <c r="V36" i="52"/>
  <c r="T36" i="52"/>
  <c r="O36" i="52"/>
  <c r="AP35" i="52"/>
  <c r="AO35" i="52"/>
  <c r="AE35" i="52"/>
  <c r="AD35" i="52"/>
  <c r="V35" i="52"/>
  <c r="T35" i="52"/>
  <c r="O35" i="52"/>
  <c r="AP34" i="52"/>
  <c r="AO34" i="52"/>
  <c r="AE34" i="52"/>
  <c r="AD34" i="52"/>
  <c r="AJ34" i="52" s="1"/>
  <c r="V34" i="52"/>
  <c r="T34" i="52"/>
  <c r="O34" i="52"/>
  <c r="V33" i="52"/>
  <c r="S33" i="52"/>
  <c r="R33" i="52"/>
  <c r="Q33" i="52"/>
  <c r="N33" i="52"/>
  <c r="M33" i="52"/>
  <c r="L33" i="52"/>
  <c r="K33" i="52"/>
  <c r="I33" i="52"/>
  <c r="H33" i="52"/>
  <c r="G33" i="52"/>
  <c r="C33" i="52"/>
  <c r="AP32" i="52"/>
  <c r="V32" i="52"/>
  <c r="T32" i="52"/>
  <c r="X32" i="52" s="1"/>
  <c r="O32" i="52"/>
  <c r="D32" i="52"/>
  <c r="B32" i="52"/>
  <c r="V31" i="52"/>
  <c r="R31" i="52"/>
  <c r="Q31" i="52"/>
  <c r="N31" i="52"/>
  <c r="N30" i="52" s="1"/>
  <c r="M31" i="52"/>
  <c r="M30" i="52" s="1"/>
  <c r="M45" i="52" s="1"/>
  <c r="L31" i="52"/>
  <c r="K31" i="52"/>
  <c r="K30" i="52" s="1"/>
  <c r="H31" i="52"/>
  <c r="G31" i="52"/>
  <c r="C31" i="52"/>
  <c r="B31" i="52"/>
  <c r="AM32" i="52" s="1"/>
  <c r="V30" i="52"/>
  <c r="S30" i="52"/>
  <c r="S45" i="52" s="1"/>
  <c r="R30" i="52"/>
  <c r="G30" i="52"/>
  <c r="G45" i="52" s="1"/>
  <c r="D30" i="52"/>
  <c r="D35" i="52" s="1"/>
  <c r="AD24" i="52"/>
  <c r="O12" i="52"/>
  <c r="U31" i="52"/>
  <c r="M8" i="52"/>
  <c r="P8" i="52" s="1"/>
  <c r="I8" i="52"/>
  <c r="AG55" i="52" s="1"/>
  <c r="F8" i="52"/>
  <c r="D8" i="52"/>
  <c r="C8" i="52"/>
  <c r="E62" i="52" s="1"/>
  <c r="R7" i="52"/>
  <c r="O7" i="52"/>
  <c r="N7" i="52"/>
  <c r="J7" i="52"/>
  <c r="I7" i="52"/>
  <c r="H7" i="52"/>
  <c r="F7" i="52"/>
  <c r="E7" i="52"/>
  <c r="C7" i="52"/>
  <c r="E54" i="52" s="1"/>
  <c r="R6" i="52"/>
  <c r="O6" i="52"/>
  <c r="N6" i="52"/>
  <c r="J6" i="52"/>
  <c r="I6" i="52"/>
  <c r="H6" i="52"/>
  <c r="F6" i="52"/>
  <c r="E6" i="52"/>
  <c r="C6" i="52"/>
  <c r="E53" i="52" s="1"/>
  <c r="B6" i="52"/>
  <c r="D53" i="52" s="1"/>
  <c r="R5" i="52"/>
  <c r="O5" i="52"/>
  <c r="N5" i="52"/>
  <c r="J5" i="52"/>
  <c r="I5" i="52"/>
  <c r="H5" i="52"/>
  <c r="F5" i="52"/>
  <c r="E5" i="52"/>
  <c r="C5" i="52"/>
  <c r="E52" i="52" s="1"/>
  <c r="B5" i="52"/>
  <c r="D52" i="52" s="1"/>
  <c r="AE1" i="52"/>
  <c r="AC1" i="52"/>
  <c r="H1" i="52"/>
  <c r="F1" i="52"/>
  <c r="P6" i="52" l="1"/>
  <c r="AM53" i="52"/>
  <c r="AJ36" i="52"/>
  <c r="T31" i="52"/>
  <c r="T30" i="52" s="1"/>
  <c r="V66" i="52"/>
  <c r="AB33" i="52"/>
  <c r="X41" i="52"/>
  <c r="E15" i="10"/>
  <c r="AE31" i="52"/>
  <c r="P5" i="52"/>
  <c r="AJ40" i="52"/>
  <c r="C49" i="14"/>
  <c r="AD60" i="52"/>
  <c r="AJ60" i="52" s="1"/>
  <c r="AP31" i="52"/>
  <c r="AJ35" i="52"/>
  <c r="T33" i="52"/>
  <c r="X33" i="52" s="1"/>
  <c r="AD56" i="52"/>
  <c r="AJ58" i="52"/>
  <c r="C52" i="52"/>
  <c r="AC31" i="52"/>
  <c r="AI31" i="52"/>
  <c r="E32" i="52"/>
  <c r="AF32" i="52"/>
  <c r="AF53" i="52" s="1"/>
  <c r="K53" i="52" s="1"/>
  <c r="AI41" i="52"/>
  <c r="AE56" i="52"/>
  <c r="AD58" i="52"/>
  <c r="E9" i="10"/>
  <c r="E13" i="10"/>
  <c r="E17" i="10"/>
  <c r="D47" i="14"/>
  <c r="N45" i="52"/>
  <c r="K45" i="52"/>
  <c r="AC33" i="52"/>
  <c r="AH33" i="52"/>
  <c r="AH54" i="52" s="1"/>
  <c r="AJ37" i="52"/>
  <c r="AJ39" i="52"/>
  <c r="AK41" i="52"/>
  <c r="AO41" i="52" s="1"/>
  <c r="AE59" i="52"/>
  <c r="D13" i="14"/>
  <c r="E13" i="14" s="1"/>
  <c r="U40" i="52"/>
  <c r="U32" i="52"/>
  <c r="W32" i="52" s="1"/>
  <c r="Y32" i="52" s="1"/>
  <c r="U34" i="52"/>
  <c r="U36" i="52"/>
  <c r="U38" i="52"/>
  <c r="K6" i="52"/>
  <c r="AC52" i="52"/>
  <c r="AC61" i="52" s="1"/>
  <c r="AE61" i="52" s="1"/>
  <c r="K5" i="52"/>
  <c r="AI52" i="52" s="1"/>
  <c r="K7" i="52"/>
  <c r="E31" i="52"/>
  <c r="AM33" i="52"/>
  <c r="AM54" i="52" s="1"/>
  <c r="AC41" i="52"/>
  <c r="AC54" i="52"/>
  <c r="AE33" i="52"/>
  <c r="AD33" i="52"/>
  <c r="U66" i="52"/>
  <c r="U51" i="52"/>
  <c r="AP33" i="52"/>
  <c r="D41" i="52"/>
  <c r="R45" i="52"/>
  <c r="AL32" i="52"/>
  <c r="AG32" i="52"/>
  <c r="AG53" i="52" s="1"/>
  <c r="L53" i="52" s="1"/>
  <c r="AC32" i="52"/>
  <c r="AC53" i="52" s="1"/>
  <c r="H53" i="52" s="1"/>
  <c r="AF31" i="52"/>
  <c r="AM31" i="52"/>
  <c r="AM52" i="52" s="1"/>
  <c r="AB32" i="52"/>
  <c r="AH32" i="52"/>
  <c r="AH53" i="52" s="1"/>
  <c r="M53" i="52" s="1"/>
  <c r="AN32" i="52"/>
  <c r="AN53" i="52" s="1"/>
  <c r="S53" i="52" s="1"/>
  <c r="D33" i="52"/>
  <c r="E33" i="52" s="1"/>
  <c r="AI33" i="52"/>
  <c r="AN33" i="52"/>
  <c r="AF33" i="52"/>
  <c r="AL33" i="52"/>
  <c r="D34" i="52"/>
  <c r="R53" i="52"/>
  <c r="C53" i="52"/>
  <c r="C51" i="52" s="1"/>
  <c r="AC55" i="52"/>
  <c r="K8" i="52"/>
  <c r="AI55" i="52" s="1"/>
  <c r="H30" i="52"/>
  <c r="H45" i="52" s="1"/>
  <c r="AN31" i="52"/>
  <c r="AD32" i="52"/>
  <c r="O33" i="52"/>
  <c r="AG33" i="52"/>
  <c r="AG54" i="52" s="1"/>
  <c r="AK62" i="52"/>
  <c r="D66" i="52"/>
  <c r="D62" i="52"/>
  <c r="C62" i="52" s="1"/>
  <c r="D54" i="52"/>
  <c r="C54" i="52" s="1"/>
  <c r="B45" i="52"/>
  <c r="O31" i="52"/>
  <c r="AB31" i="52"/>
  <c r="AH31" i="52"/>
  <c r="AH52" i="52" s="1"/>
  <c r="M52" i="52" s="1"/>
  <c r="M51" i="52" s="1"/>
  <c r="AI32" i="52"/>
  <c r="P7" i="52"/>
  <c r="U39" i="52"/>
  <c r="U37" i="52"/>
  <c r="U33" i="52"/>
  <c r="U30" i="52"/>
  <c r="C30" i="52"/>
  <c r="AG31" i="52"/>
  <c r="AG52" i="52" s="1"/>
  <c r="AG61" i="52" s="1"/>
  <c r="L30" i="52"/>
  <c r="L45" i="52" s="1"/>
  <c r="AL31" i="52"/>
  <c r="Q30" i="52"/>
  <c r="Q45" i="52" s="1"/>
  <c r="AD31" i="52"/>
  <c r="AE32" i="52"/>
  <c r="U35" i="52"/>
  <c r="AN62" i="52"/>
  <c r="U41" i="52"/>
  <c r="W41" i="52" s="1"/>
  <c r="AD41" i="52"/>
  <c r="B51" i="52"/>
  <c r="B66" i="52" s="1"/>
  <c r="R52" i="52"/>
  <c r="AE57" i="52"/>
  <c r="AD57" i="52"/>
  <c r="E41" i="52"/>
  <c r="AA41" i="52"/>
  <c r="AA62" i="52" s="1"/>
  <c r="AG41" i="52"/>
  <c r="AG62" i="52" s="1"/>
  <c r="AD59" i="52"/>
  <c r="D50" i="14" l="1"/>
  <c r="E47" i="14"/>
  <c r="Y41" i="52"/>
  <c r="W7" i="52" s="1"/>
  <c r="X31" i="52"/>
  <c r="X30" i="52" s="1"/>
  <c r="X45" i="52" s="1"/>
  <c r="AB54" i="52"/>
  <c r="AI54" i="52"/>
  <c r="R51" i="52"/>
  <c r="AN52" i="52"/>
  <c r="S52" i="52" s="1"/>
  <c r="AF54" i="52"/>
  <c r="AJ54" i="52" s="1"/>
  <c r="AF52" i="52"/>
  <c r="K52" i="52" s="1"/>
  <c r="K51" i="52" s="1"/>
  <c r="AD61" i="52"/>
  <c r="T45" i="52"/>
  <c r="D49" i="14"/>
  <c r="F13" i="14"/>
  <c r="D5" i="14"/>
  <c r="AJ57" i="52"/>
  <c r="H52" i="52"/>
  <c r="AI61" i="52"/>
  <c r="N52" i="52"/>
  <c r="C50" i="14"/>
  <c r="AE41" i="52"/>
  <c r="AJ41" i="52" s="1"/>
  <c r="AC62" i="52"/>
  <c r="H62" i="52" s="1"/>
  <c r="S51" i="52"/>
  <c r="AI53" i="52"/>
  <c r="N53" i="52" s="1"/>
  <c r="AJ33" i="52"/>
  <c r="F47" i="14"/>
  <c r="E51" i="52"/>
  <c r="E66" i="52" s="1"/>
  <c r="C66" i="52"/>
  <c r="E34" i="52"/>
  <c r="E35" i="52"/>
  <c r="AJ32" i="52"/>
  <c r="AB53" i="52"/>
  <c r="AD54" i="52"/>
  <c r="I54" i="52" s="1"/>
  <c r="I66" i="52" s="1"/>
  <c r="AE54" i="52"/>
  <c r="G54" i="52"/>
  <c r="N54" i="52"/>
  <c r="R54" i="52"/>
  <c r="R66" i="52" s="1"/>
  <c r="M54" i="52"/>
  <c r="AE24" i="52"/>
  <c r="L54" i="52"/>
  <c r="AF24" i="52"/>
  <c r="AC24" i="52" s="1"/>
  <c r="H54" i="52" s="1"/>
  <c r="AO62" i="52"/>
  <c r="AD55" i="52"/>
  <c r="AE55" i="52"/>
  <c r="H51" i="52"/>
  <c r="L52" i="52"/>
  <c r="L51" i="52" s="1"/>
  <c r="AL54" i="52"/>
  <c r="Q54" i="52" s="1"/>
  <c r="AO33" i="52"/>
  <c r="AL53" i="52"/>
  <c r="AO32" i="52"/>
  <c r="P62" i="52"/>
  <c r="L62" i="52"/>
  <c r="F62" i="52"/>
  <c r="K62" i="52"/>
  <c r="M62" i="52"/>
  <c r="S62" i="52"/>
  <c r="G62" i="52"/>
  <c r="AI62" i="52"/>
  <c r="N62" i="52" s="1"/>
  <c r="E30" i="52"/>
  <c r="E45" i="52" s="1"/>
  <c r="C45" i="52"/>
  <c r="AB52" i="52"/>
  <c r="AJ31" i="52"/>
  <c r="AL52" i="52"/>
  <c r="AO31" i="52"/>
  <c r="W31" i="52"/>
  <c r="O30" i="52"/>
  <c r="O45" i="52" s="1"/>
  <c r="W33" i="52"/>
  <c r="Y33" i="52" s="1"/>
  <c r="W6" i="52" s="1"/>
  <c r="AN54" i="52"/>
  <c r="S54" i="52" s="1"/>
  <c r="AJ55" i="52" l="1"/>
  <c r="K54" i="52"/>
  <c r="J54" i="52"/>
  <c r="J66" i="52" s="1"/>
  <c r="N51" i="52"/>
  <c r="AJ61" i="52"/>
  <c r="M66" i="52"/>
  <c r="S66" i="52"/>
  <c r="D10" i="14"/>
  <c r="D6" i="14"/>
  <c r="D2" i="14"/>
  <c r="D9" i="14"/>
  <c r="D20" i="14"/>
  <c r="D40" i="14"/>
  <c r="D19" i="14"/>
  <c r="D27" i="14"/>
  <c r="D35" i="14"/>
  <c r="D43" i="14"/>
  <c r="D32" i="14"/>
  <c r="D24" i="14"/>
  <c r="D15" i="14"/>
  <c r="AB15" i="14" s="1"/>
  <c r="D31" i="14"/>
  <c r="D18" i="14"/>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D36" i="14"/>
  <c r="D3" i="14"/>
  <c r="D11" i="14"/>
  <c r="D34" i="14"/>
  <c r="D17" i="14"/>
  <c r="AB17" i="14" s="1"/>
  <c r="D33" i="14"/>
  <c r="D26" i="14"/>
  <c r="D42" i="14"/>
  <c r="D4" i="14"/>
  <c r="D7" i="14"/>
  <c r="D22" i="14"/>
  <c r="D46" i="14"/>
  <c r="D21" i="14"/>
  <c r="D29" i="14"/>
  <c r="D37" i="14"/>
  <c r="D45" i="14"/>
  <c r="D38" i="14"/>
  <c r="D30" i="14"/>
  <c r="D12" i="14"/>
  <c r="D28" i="14"/>
  <c r="D23" i="14"/>
  <c r="D39" i="14"/>
  <c r="D44" i="14"/>
  <c r="D14" i="14"/>
  <c r="AB14" i="14" s="1"/>
  <c r="D8" i="14"/>
  <c r="D25" i="14"/>
  <c r="D41" i="14"/>
  <c r="D16" i="14"/>
  <c r="AB16" i="14" s="1"/>
  <c r="H66" i="52"/>
  <c r="AD62" i="52"/>
  <c r="AE62" i="52"/>
  <c r="AJ62" i="52" s="1"/>
  <c r="C3" i="14"/>
  <c r="C5" i="14"/>
  <c r="C7" i="14"/>
  <c r="C9" i="14"/>
  <c r="C11" i="14"/>
  <c r="C12" i="14"/>
  <c r="C2" i="14"/>
  <c r="C10" i="14"/>
  <c r="C6" i="14"/>
  <c r="C8" i="14"/>
  <c r="C4" i="14"/>
  <c r="C44" i="14"/>
  <c r="C36" i="14"/>
  <c r="C28" i="14"/>
  <c r="C20" i="14"/>
  <c r="C45" i="14"/>
  <c r="C37" i="14"/>
  <c r="C29" i="14"/>
  <c r="C21" i="14"/>
  <c r="C46" i="14"/>
  <c r="C38" i="14"/>
  <c r="C30" i="14"/>
  <c r="C39" i="14"/>
  <c r="C23" i="14"/>
  <c r="C42" i="14"/>
  <c r="C34" i="14"/>
  <c r="C26" i="14"/>
  <c r="C18" i="14"/>
  <c r="Z18" i="14" s="1"/>
  <c r="C43" i="14"/>
  <c r="C35" i="14"/>
  <c r="C27" i="14"/>
  <c r="C19" i="14"/>
  <c r="C22" i="14"/>
  <c r="C14" i="14"/>
  <c r="Z14" i="14" s="1"/>
  <c r="C15" i="14"/>
  <c r="Z15" i="14" s="1"/>
  <c r="C40" i="14"/>
  <c r="C32" i="14"/>
  <c r="C24" i="14"/>
  <c r="C16" i="14"/>
  <c r="Z16" i="14" s="1"/>
  <c r="C41" i="14"/>
  <c r="C33" i="14"/>
  <c r="C25" i="14"/>
  <c r="C17" i="14"/>
  <c r="Z17" i="14" s="1"/>
  <c r="C31" i="14"/>
  <c r="AJ53" i="52"/>
  <c r="G53" i="52"/>
  <c r="AO53" i="52"/>
  <c r="Q53" i="52"/>
  <c r="T53" i="52" s="1"/>
  <c r="X53" i="52" s="1"/>
  <c r="AO52" i="52"/>
  <c r="Q52" i="52"/>
  <c r="K66" i="52"/>
  <c r="O62" i="52"/>
  <c r="W62" i="52" s="1"/>
  <c r="F66" i="52"/>
  <c r="T54" i="52"/>
  <c r="X54" i="52" s="1"/>
  <c r="N66" i="52"/>
  <c r="L66" i="52"/>
  <c r="W30" i="52"/>
  <c r="W45" i="52" s="1"/>
  <c r="Y31" i="52"/>
  <c r="Y30" i="52" s="1"/>
  <c r="AJ52" i="52"/>
  <c r="G52" i="52"/>
  <c r="P66" i="52"/>
  <c r="T62" i="52"/>
  <c r="X62" i="52" s="1"/>
  <c r="AO54" i="52"/>
  <c r="O54" i="52"/>
  <c r="W54" i="52" s="1"/>
  <c r="AP54" i="52"/>
  <c r="AG24" i="52" l="1"/>
  <c r="AH24" i="52" s="1"/>
  <c r="Y62" i="52"/>
  <c r="X7" i="52" s="1"/>
  <c r="E17" i="14"/>
  <c r="F17" i="14"/>
  <c r="E15" i="14"/>
  <c r="F15" i="14"/>
  <c r="E39" i="14"/>
  <c r="F39" i="14"/>
  <c r="E20" i="14"/>
  <c r="F20" i="14"/>
  <c r="E25" i="14"/>
  <c r="F25" i="14"/>
  <c r="E24" i="14"/>
  <c r="F24" i="14"/>
  <c r="E14" i="14"/>
  <c r="F14" i="14"/>
  <c r="E35" i="14"/>
  <c r="F35" i="14"/>
  <c r="E34" i="14"/>
  <c r="F34" i="14"/>
  <c r="E30" i="14"/>
  <c r="F30" i="14"/>
  <c r="E29" i="14"/>
  <c r="F29" i="14"/>
  <c r="E28" i="14"/>
  <c r="F28" i="14"/>
  <c r="E16" i="14"/>
  <c r="F16" i="14"/>
  <c r="E26" i="14"/>
  <c r="F26" i="14"/>
  <c r="E21" i="14"/>
  <c r="F21" i="14"/>
  <c r="E33" i="14"/>
  <c r="F33" i="14"/>
  <c r="E32" i="14"/>
  <c r="F32" i="14"/>
  <c r="E22" i="14"/>
  <c r="F22" i="14"/>
  <c r="E43" i="14"/>
  <c r="F43" i="14"/>
  <c r="E42" i="14"/>
  <c r="F42" i="14"/>
  <c r="E38" i="14"/>
  <c r="F38" i="14"/>
  <c r="E37" i="14"/>
  <c r="F37" i="14"/>
  <c r="E36" i="14"/>
  <c r="F36" i="14"/>
  <c r="E27" i="14"/>
  <c r="F27" i="14"/>
  <c r="E31" i="14"/>
  <c r="F31" i="14"/>
  <c r="E41" i="14"/>
  <c r="F41" i="14"/>
  <c r="E40" i="14"/>
  <c r="F40" i="14"/>
  <c r="E19" i="14"/>
  <c r="F19" i="14"/>
  <c r="E18" i="14"/>
  <c r="F18" i="14"/>
  <c r="E23" i="14"/>
  <c r="F23" i="14"/>
  <c r="E46" i="14"/>
  <c r="F46" i="14"/>
  <c r="E45" i="14"/>
  <c r="F45" i="14"/>
  <c r="E44" i="14"/>
  <c r="F44" i="14"/>
  <c r="AP52" i="52"/>
  <c r="O52" i="52"/>
  <c r="G51" i="52"/>
  <c r="G66" i="52" s="1"/>
  <c r="Y45" i="52"/>
  <c r="W5" i="52"/>
  <c r="W8" i="52" s="1"/>
  <c r="Q51" i="52"/>
  <c r="Q66" i="52" s="1"/>
  <c r="T52" i="52"/>
  <c r="AP53" i="52"/>
  <c r="O53" i="52"/>
  <c r="W53" i="52" s="1"/>
  <c r="Y53" i="52" s="1"/>
  <c r="Y54" i="52"/>
  <c r="X6" i="52" s="1"/>
  <c r="X52" i="52" l="1"/>
  <c r="X51" i="52" s="1"/>
  <c r="X66" i="52" s="1"/>
  <c r="T51" i="52"/>
  <c r="T66" i="52" s="1"/>
  <c r="W52" i="52"/>
  <c r="O51" i="52"/>
  <c r="O66" i="52" s="1"/>
  <c r="Y52" i="52" l="1"/>
  <c r="W51" i="52"/>
  <c r="Y51" i="52" l="1"/>
  <c r="W66" i="52"/>
  <c r="Y66" i="52" l="1"/>
  <c r="X5" i="52"/>
  <c r="X8" i="52" s="1"/>
  <c r="Y4" i="14" l="1"/>
  <c r="Y5" i="14"/>
  <c r="Y6" i="14"/>
  <c r="Y7" i="14"/>
  <c r="Y8" i="14"/>
  <c r="Y9" i="14"/>
  <c r="AL9" i="14" s="1"/>
  <c r="Y3" i="14"/>
  <c r="AL3" i="14" s="1"/>
  <c r="AJ13" i="14"/>
  <c r="AD13" i="14"/>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X13" i="14"/>
  <c r="W13" i="14"/>
  <c r="AJ12" i="14"/>
  <c r="AD12" i="14"/>
  <c r="X12" i="14"/>
  <c r="W12" i="14"/>
  <c r="AJ11" i="14"/>
  <c r="AD11" i="14"/>
  <c r="X11" i="14"/>
  <c r="W11" i="14"/>
  <c r="AJ10" i="14"/>
  <c r="AD10" i="14"/>
  <c r="X10" i="14"/>
  <c r="W10" i="14"/>
  <c r="AJ9" i="14"/>
  <c r="AD9" i="14"/>
  <c r="X9" i="14"/>
  <c r="W9" i="14"/>
  <c r="AJ8" i="14"/>
  <c r="AD8" i="14"/>
  <c r="X8" i="14"/>
  <c r="W8" i="14"/>
  <c r="AJ7" i="14"/>
  <c r="AD7" i="14"/>
  <c r="X7" i="14"/>
  <c r="W7" i="14"/>
  <c r="AJ6" i="14"/>
  <c r="AD6" i="14"/>
  <c r="X6" i="14"/>
  <c r="W6" i="14"/>
  <c r="AJ5" i="14"/>
  <c r="AD5" i="14"/>
  <c r="X5" i="14"/>
  <c r="W5" i="14"/>
  <c r="AJ4" i="14"/>
  <c r="AD4" i="14"/>
  <c r="X4" i="14"/>
  <c r="W4" i="14"/>
  <c r="AJ3" i="14"/>
  <c r="AD3" i="14"/>
  <c r="W3" i="14"/>
  <c r="W16" i="14" l="1"/>
  <c r="AH39" i="14" s="1"/>
  <c r="Z3" i="14"/>
  <c r="AL10" i="14"/>
  <c r="Z10" i="14"/>
  <c r="AL6" i="14"/>
  <c r="Z6" i="14"/>
  <c r="AL13" i="14"/>
  <c r="Z13" i="14"/>
  <c r="Z9" i="14"/>
  <c r="AL5" i="14"/>
  <c r="Z5" i="14"/>
  <c r="AL12" i="14"/>
  <c r="Z12" i="14"/>
  <c r="AL8" i="14"/>
  <c r="Z8" i="14"/>
  <c r="AL4" i="14"/>
  <c r="Z4" i="14"/>
  <c r="AL11" i="14"/>
  <c r="Z11" i="14"/>
  <c r="AL7" i="14"/>
  <c r="Z7" i="14"/>
  <c r="AH14" i="14"/>
  <c r="AH41" i="14"/>
  <c r="AH31" i="14"/>
  <c r="AH29" i="14"/>
  <c r="AH17" i="14"/>
  <c r="AH16" i="14"/>
  <c r="AH47" i="14"/>
  <c r="AH44" i="14"/>
  <c r="AH43" i="14"/>
  <c r="AH36" i="14"/>
  <c r="AH34" i="14"/>
  <c r="AH32" i="14"/>
  <c r="AH30" i="14"/>
  <c r="AH28" i="14"/>
  <c r="AH23" i="14" l="1"/>
  <c r="AH25" i="14"/>
  <c r="AH27" i="14"/>
  <c r="AH46" i="14"/>
  <c r="AH15" i="14"/>
  <c r="AH20" i="14"/>
  <c r="AH38" i="14"/>
  <c r="AH18" i="14"/>
  <c r="AH33" i="14"/>
  <c r="AH22" i="14"/>
  <c r="AH40" i="14"/>
  <c r="AH19" i="14"/>
  <c r="AH35" i="14"/>
  <c r="AH26" i="14"/>
  <c r="AH42" i="14"/>
  <c r="AH21" i="14"/>
  <c r="AH37" i="14"/>
  <c r="AH45" i="14"/>
  <c r="AH24" i="14"/>
  <c r="C15" i="10"/>
  <c r="C12" i="10"/>
  <c r="C9" i="10"/>
  <c r="C17" i="10"/>
  <c r="C14" i="10"/>
  <c r="C11" i="10"/>
  <c r="C8" i="10"/>
  <c r="C16" i="10"/>
  <c r="C13" i="10"/>
  <c r="C10" i="10"/>
  <c r="C7" i="10"/>
  <c r="AL14" i="14"/>
  <c r="AI17" i="14"/>
  <c r="AI14" i="14"/>
  <c r="AI47" i="14"/>
  <c r="AI46" i="14"/>
  <c r="AI45" i="14"/>
  <c r="AI44" i="14"/>
  <c r="AI43" i="14"/>
  <c r="AI42" i="14"/>
  <c r="AI41" i="14"/>
  <c r="AI40" i="14"/>
  <c r="AI39" i="14"/>
  <c r="AI38" i="14"/>
  <c r="AI37" i="14"/>
  <c r="AI36" i="14"/>
  <c r="AI35" i="14"/>
  <c r="AI34" i="14"/>
  <c r="AI33" i="14"/>
  <c r="AI32" i="14"/>
  <c r="AI31" i="14"/>
  <c r="AI30" i="14"/>
  <c r="AI29" i="14"/>
  <c r="AI28" i="14"/>
  <c r="AI27" i="14"/>
  <c r="AI26" i="14"/>
  <c r="AI25" i="14"/>
  <c r="AI24" i="14"/>
  <c r="AI23" i="14"/>
  <c r="AI22" i="14"/>
  <c r="AI21" i="14"/>
  <c r="AI20" i="14"/>
  <c r="AI19" i="14"/>
  <c r="AI18" i="14"/>
  <c r="AI16" i="14"/>
  <c r="AI15" i="14"/>
  <c r="AJ15" i="14" l="1"/>
  <c r="AO15" i="14"/>
  <c r="AJ20" i="14"/>
  <c r="AO20" i="14"/>
  <c r="AJ24" i="14"/>
  <c r="AO24" i="14"/>
  <c r="AJ28" i="14"/>
  <c r="AO28" i="14"/>
  <c r="AJ32" i="14"/>
  <c r="AO32" i="14"/>
  <c r="AJ36" i="14"/>
  <c r="AO36" i="14"/>
  <c r="AJ40" i="14"/>
  <c r="AO40" i="14"/>
  <c r="AJ44" i="14"/>
  <c r="AO44" i="14"/>
  <c r="AJ14" i="14"/>
  <c r="AO14" i="14"/>
  <c r="AL15" i="14"/>
  <c r="H10" i="10"/>
  <c r="J10" i="10"/>
  <c r="L10" i="10"/>
  <c r="L16" i="10"/>
  <c r="J16" i="10"/>
  <c r="H16" i="10"/>
  <c r="H11" i="10"/>
  <c r="L11" i="10"/>
  <c r="J11" i="10"/>
  <c r="J17" i="10"/>
  <c r="L17" i="10"/>
  <c r="H17" i="10"/>
  <c r="AJ16" i="14"/>
  <c r="AO16" i="14"/>
  <c r="AJ21" i="14"/>
  <c r="AO21" i="14"/>
  <c r="AJ25" i="14"/>
  <c r="AO25" i="14"/>
  <c r="AJ29" i="14"/>
  <c r="AO29" i="14"/>
  <c r="AJ33" i="14"/>
  <c r="AO33" i="14"/>
  <c r="AJ37" i="14"/>
  <c r="AO37" i="14"/>
  <c r="AJ41" i="14"/>
  <c r="AO41" i="14"/>
  <c r="AJ45" i="14"/>
  <c r="AO45" i="14"/>
  <c r="AJ17" i="14"/>
  <c r="AO17" i="14"/>
  <c r="H7" i="10"/>
  <c r="J7" i="10"/>
  <c r="L7" i="10"/>
  <c r="J13" i="10"/>
  <c r="L13" i="10"/>
  <c r="H13" i="10"/>
  <c r="AJ18" i="14"/>
  <c r="AO18" i="14"/>
  <c r="AJ22" i="14"/>
  <c r="AO22" i="14"/>
  <c r="AJ26" i="14"/>
  <c r="AO26" i="14"/>
  <c r="AJ30" i="14"/>
  <c r="AO30" i="14"/>
  <c r="AJ34" i="14"/>
  <c r="AO34" i="14"/>
  <c r="AJ38" i="14"/>
  <c r="AO38" i="14"/>
  <c r="AJ42" i="14"/>
  <c r="AO42" i="14"/>
  <c r="AJ46" i="14"/>
  <c r="AO46" i="14"/>
  <c r="L8" i="10"/>
  <c r="J8" i="10"/>
  <c r="H8" i="10"/>
  <c r="H14" i="10"/>
  <c r="J14" i="10"/>
  <c r="L14" i="10"/>
  <c r="J9" i="10"/>
  <c r="L9" i="10"/>
  <c r="H9" i="10"/>
  <c r="H15" i="10"/>
  <c r="J15" i="10"/>
  <c r="L15" i="10"/>
  <c r="AJ19" i="14"/>
  <c r="AO19" i="14"/>
  <c r="AJ23" i="14"/>
  <c r="AO23" i="14"/>
  <c r="AJ27" i="14"/>
  <c r="AO27" i="14"/>
  <c r="AJ31" i="14"/>
  <c r="AO31" i="14"/>
  <c r="AJ35" i="14"/>
  <c r="AO35" i="14"/>
  <c r="AJ39" i="14"/>
  <c r="AO39" i="14"/>
  <c r="AJ43" i="14"/>
  <c r="AO43" i="14"/>
  <c r="AJ47" i="14"/>
  <c r="AO47" i="14"/>
  <c r="C18" i="10"/>
  <c r="L12" i="10"/>
  <c r="H12" i="10"/>
  <c r="J12" i="10"/>
  <c r="I60" i="4"/>
  <c r="L92" i="50"/>
  <c r="S18" i="20" s="1"/>
  <c r="M92" i="50"/>
  <c r="N18" i="20" s="1"/>
  <c r="N92" i="50"/>
  <c r="O18" i="20" s="1"/>
  <c r="O92" i="50"/>
  <c r="P18" i="20" s="1"/>
  <c r="C10" i="23" s="1"/>
  <c r="P92" i="50"/>
  <c r="Q18" i="20" s="1"/>
  <c r="Q92" i="50"/>
  <c r="R18" i="20" s="1"/>
  <c r="R92" i="50"/>
  <c r="T18" i="20" s="1"/>
  <c r="AR10" i="23" s="1"/>
  <c r="S92" i="50"/>
  <c r="L93" i="50"/>
  <c r="S19" i="20" s="1"/>
  <c r="M93" i="50"/>
  <c r="N19" i="20" s="1"/>
  <c r="N93" i="50"/>
  <c r="O19" i="20" s="1"/>
  <c r="O93" i="50"/>
  <c r="P19" i="20" s="1"/>
  <c r="C11" i="23" s="1"/>
  <c r="P93" i="50"/>
  <c r="Q19" i="20" s="1"/>
  <c r="Q93" i="50"/>
  <c r="R19" i="20" s="1"/>
  <c r="R93" i="50"/>
  <c r="T19" i="20" s="1"/>
  <c r="AR11" i="23" s="1"/>
  <c r="S93" i="50"/>
  <c r="L94" i="50"/>
  <c r="S20" i="20" s="1"/>
  <c r="N20" i="20"/>
  <c r="N94" i="50"/>
  <c r="O20" i="20" s="1"/>
  <c r="O94" i="50"/>
  <c r="P20" i="20" s="1"/>
  <c r="C12" i="23" s="1"/>
  <c r="P94" i="50"/>
  <c r="Q20" i="20" s="1"/>
  <c r="Q94" i="50"/>
  <c r="R20" i="20" s="1"/>
  <c r="R94" i="50"/>
  <c r="T20" i="20" s="1"/>
  <c r="AR12" i="23" s="1"/>
  <c r="S94" i="50"/>
  <c r="L95" i="50"/>
  <c r="S21" i="20" s="1"/>
  <c r="M95" i="50"/>
  <c r="N21" i="20" s="1"/>
  <c r="O21" i="20"/>
  <c r="O95" i="50"/>
  <c r="P21" i="20" s="1"/>
  <c r="C13" i="23" s="1"/>
  <c r="P95" i="50"/>
  <c r="Q21" i="20" s="1"/>
  <c r="Q95" i="50"/>
  <c r="R21" i="20" s="1"/>
  <c r="R95" i="50"/>
  <c r="T21" i="20" s="1"/>
  <c r="AR13" i="23" s="1"/>
  <c r="S95" i="50"/>
  <c r="S22" i="20"/>
  <c r="M96" i="50"/>
  <c r="N22" i="20" s="1"/>
  <c r="N96" i="50"/>
  <c r="O22" i="20" s="1"/>
  <c r="O96" i="50"/>
  <c r="P22" i="20" s="1"/>
  <c r="C14" i="23" s="1"/>
  <c r="P96" i="50"/>
  <c r="Q22" i="20" s="1"/>
  <c r="Q96" i="50"/>
  <c r="R22" i="20" s="1"/>
  <c r="R96" i="50"/>
  <c r="T22" i="20" s="1"/>
  <c r="AQ14" i="23" s="1"/>
  <c r="S96" i="50"/>
  <c r="L97" i="50"/>
  <c r="S23" i="20" s="1"/>
  <c r="M97" i="50"/>
  <c r="N23" i="20" s="1"/>
  <c r="M15" i="23" s="1"/>
  <c r="O15" i="23" s="1"/>
  <c r="N97" i="50"/>
  <c r="O23" i="20" s="1"/>
  <c r="O97" i="50"/>
  <c r="P23" i="20" s="1"/>
  <c r="C15" i="23" s="1"/>
  <c r="P97" i="50"/>
  <c r="Q23" i="20" s="1"/>
  <c r="Q97" i="50"/>
  <c r="R23" i="20" s="1"/>
  <c r="R97" i="50"/>
  <c r="T23" i="20" s="1"/>
  <c r="AQ15" i="23" s="1"/>
  <c r="S97" i="50"/>
  <c r="S24" i="20"/>
  <c r="N24" i="20"/>
  <c r="M16" i="23" s="1"/>
  <c r="O16" i="23" s="1"/>
  <c r="O24" i="20"/>
  <c r="P24" i="20"/>
  <c r="C16" i="23" s="1"/>
  <c r="Q24" i="20"/>
  <c r="R24" i="20"/>
  <c r="T24" i="20"/>
  <c r="AQ16" i="23" s="1"/>
  <c r="S25" i="20"/>
  <c r="N25" i="20"/>
  <c r="O25" i="20"/>
  <c r="P25" i="20"/>
  <c r="C17" i="23" s="1"/>
  <c r="Q25" i="20"/>
  <c r="R25" i="20"/>
  <c r="T25" i="20"/>
  <c r="AR17" i="23" s="1"/>
  <c r="S26" i="20"/>
  <c r="N26" i="20"/>
  <c r="M18" i="23" s="1"/>
  <c r="O18" i="23" s="1"/>
  <c r="O26" i="20"/>
  <c r="P26" i="20"/>
  <c r="C18" i="23" s="1"/>
  <c r="Q26" i="20"/>
  <c r="R26" i="20"/>
  <c r="T26" i="20"/>
  <c r="AQ18" i="23" s="1"/>
  <c r="S27" i="20"/>
  <c r="N27" i="20"/>
  <c r="O27" i="20"/>
  <c r="P27" i="20"/>
  <c r="C19" i="23" s="1"/>
  <c r="Q27" i="20"/>
  <c r="R27" i="20"/>
  <c r="T27" i="20"/>
  <c r="M91" i="50"/>
  <c r="N17" i="20" s="1"/>
  <c r="N91" i="50"/>
  <c r="O17" i="20" s="1"/>
  <c r="O91" i="50"/>
  <c r="P17" i="20" s="1"/>
  <c r="C9" i="23" s="1"/>
  <c r="P91" i="50"/>
  <c r="Q17" i="20" s="1"/>
  <c r="Q91" i="50"/>
  <c r="R17" i="20" s="1"/>
  <c r="R91" i="50"/>
  <c r="T17" i="20" s="1"/>
  <c r="AR9" i="23" s="1"/>
  <c r="S91" i="50"/>
  <c r="L91" i="50"/>
  <c r="S17" i="20" s="1"/>
  <c r="I92" i="50"/>
  <c r="I93" i="50"/>
  <c r="I94" i="50"/>
  <c r="I95" i="50"/>
  <c r="I96" i="50"/>
  <c r="I97" i="50"/>
  <c r="I98" i="50"/>
  <c r="I99" i="50"/>
  <c r="I100" i="50"/>
  <c r="I101" i="50"/>
  <c r="I91" i="50"/>
  <c r="I54" i="4"/>
  <c r="V47" i="50"/>
  <c r="W47" i="50"/>
  <c r="X47" i="50"/>
  <c r="AH47" i="50" s="1"/>
  <c r="Y47" i="50"/>
  <c r="AI47" i="50" s="1"/>
  <c r="Z47" i="50"/>
  <c r="AA47" i="50"/>
  <c r="AB47" i="50"/>
  <c r="AL47" i="50" s="1"/>
  <c r="AC47" i="50"/>
  <c r="AM47" i="50" s="1"/>
  <c r="V48" i="50"/>
  <c r="W48" i="50"/>
  <c r="X48" i="50"/>
  <c r="AH48" i="50" s="1"/>
  <c r="Y48" i="50"/>
  <c r="AI48" i="50" s="1"/>
  <c r="Z48" i="50"/>
  <c r="AA48" i="50"/>
  <c r="AB48" i="50"/>
  <c r="AL48" i="50" s="1"/>
  <c r="AC48" i="50"/>
  <c r="AM48" i="50" s="1"/>
  <c r="V49" i="50"/>
  <c r="W49" i="50"/>
  <c r="X49" i="50"/>
  <c r="AH49" i="50" s="1"/>
  <c r="Y49" i="50"/>
  <c r="AI49" i="50" s="1"/>
  <c r="Z49" i="50"/>
  <c r="AA49" i="50"/>
  <c r="AB49" i="50"/>
  <c r="AL49" i="50" s="1"/>
  <c r="AC49" i="50"/>
  <c r="AM49" i="50" s="1"/>
  <c r="AC72" i="50"/>
  <c r="W46" i="50"/>
  <c r="X46" i="50"/>
  <c r="AH46" i="50" s="1"/>
  <c r="Y46" i="50"/>
  <c r="AI46" i="50" s="1"/>
  <c r="Z46" i="50"/>
  <c r="AA46" i="50"/>
  <c r="AB46" i="50"/>
  <c r="AC46" i="50"/>
  <c r="AM46" i="50" s="1"/>
  <c r="V46" i="50"/>
  <c r="I76" i="50"/>
  <c r="I75" i="50"/>
  <c r="I74" i="50"/>
  <c r="I73" i="50"/>
  <c r="I72" i="50"/>
  <c r="I66" i="50"/>
  <c r="I65" i="50"/>
  <c r="AE27" i="20"/>
  <c r="AP19" i="23" s="1"/>
  <c r="AC27" i="20"/>
  <c r="AB27" i="20"/>
  <c r="AA27" i="20"/>
  <c r="B19" i="23" s="1"/>
  <c r="Z27" i="20"/>
  <c r="Y27" i="20"/>
  <c r="L19" i="23" s="1"/>
  <c r="AD27" i="20"/>
  <c r="AE26" i="20"/>
  <c r="AP18" i="23" s="1"/>
  <c r="AC26" i="20"/>
  <c r="AB26" i="20"/>
  <c r="AA26" i="20"/>
  <c r="B18" i="23" s="1"/>
  <c r="Z26" i="20"/>
  <c r="Y26" i="20"/>
  <c r="L18" i="23" s="1"/>
  <c r="AD26" i="20"/>
  <c r="AE25" i="20"/>
  <c r="AP17" i="23" s="1"/>
  <c r="AC25" i="20"/>
  <c r="AB25" i="20"/>
  <c r="AA25" i="20"/>
  <c r="B17" i="23" s="1"/>
  <c r="Z25" i="20"/>
  <c r="Y25" i="20"/>
  <c r="L17" i="23" s="1"/>
  <c r="AD25" i="20"/>
  <c r="AE24" i="20"/>
  <c r="AP16" i="23" s="1"/>
  <c r="AC24" i="20"/>
  <c r="AB24" i="20"/>
  <c r="AA24" i="20"/>
  <c r="B16" i="23" s="1"/>
  <c r="Z24" i="20"/>
  <c r="Y24" i="20"/>
  <c r="L16" i="23" s="1"/>
  <c r="AD24" i="20"/>
  <c r="S72" i="50"/>
  <c r="R72" i="50"/>
  <c r="AE23" i="20" s="1"/>
  <c r="AP15" i="23" s="1"/>
  <c r="Q72" i="50"/>
  <c r="AC23" i="20" s="1"/>
  <c r="P72" i="50"/>
  <c r="AB23" i="20" s="1"/>
  <c r="O72" i="50"/>
  <c r="AA23" i="20" s="1"/>
  <c r="B15" i="23" s="1"/>
  <c r="N72" i="50"/>
  <c r="Z23" i="20" s="1"/>
  <c r="M72" i="50"/>
  <c r="Y23" i="20" s="1"/>
  <c r="L15" i="23" s="1"/>
  <c r="L72" i="50"/>
  <c r="AD23" i="20" s="1"/>
  <c r="S71" i="50"/>
  <c r="R71" i="50"/>
  <c r="AE22" i="20" s="1"/>
  <c r="AP14" i="23" s="1"/>
  <c r="Q71" i="50"/>
  <c r="AC22" i="20" s="1"/>
  <c r="P71" i="50"/>
  <c r="AB22" i="20" s="1"/>
  <c r="O71" i="50"/>
  <c r="AA22" i="20" s="1"/>
  <c r="B14" i="23" s="1"/>
  <c r="N71" i="50"/>
  <c r="Z22" i="20" s="1"/>
  <c r="M71" i="50"/>
  <c r="Y22" i="20" s="1"/>
  <c r="L14" i="23" s="1"/>
  <c r="L71" i="50"/>
  <c r="AD22" i="20" s="1"/>
  <c r="S70" i="50"/>
  <c r="R70" i="50"/>
  <c r="AE21" i="20" s="1"/>
  <c r="AP13" i="23" s="1"/>
  <c r="Q70" i="50"/>
  <c r="AC21" i="20" s="1"/>
  <c r="P70" i="50"/>
  <c r="AB21" i="20" s="1"/>
  <c r="O70" i="50"/>
  <c r="AA21" i="20" s="1"/>
  <c r="B13" i="23" s="1"/>
  <c r="N70" i="50"/>
  <c r="Z21" i="20" s="1"/>
  <c r="M70" i="50"/>
  <c r="Y21" i="20" s="1"/>
  <c r="L70" i="50"/>
  <c r="AD21" i="20" s="1"/>
  <c r="S69" i="50"/>
  <c r="R69" i="50"/>
  <c r="AE20" i="20" s="1"/>
  <c r="AP12" i="23" s="1"/>
  <c r="Q69" i="50"/>
  <c r="AC20" i="20" s="1"/>
  <c r="P69" i="50"/>
  <c r="AB20" i="20" s="1"/>
  <c r="O69" i="50"/>
  <c r="AA20" i="20" s="1"/>
  <c r="B12" i="23" s="1"/>
  <c r="N69" i="50"/>
  <c r="Z20" i="20" s="1"/>
  <c r="M69" i="50"/>
  <c r="Y20" i="20" s="1"/>
  <c r="L12" i="23" s="1"/>
  <c r="L69" i="50"/>
  <c r="AD20" i="20" s="1"/>
  <c r="S68" i="50"/>
  <c r="R68" i="50"/>
  <c r="AE19" i="20" s="1"/>
  <c r="AP11" i="23" s="1"/>
  <c r="Q68" i="50"/>
  <c r="AC19" i="20" s="1"/>
  <c r="P68" i="50"/>
  <c r="AB19" i="20" s="1"/>
  <c r="O68" i="50"/>
  <c r="AA19" i="20" s="1"/>
  <c r="B11" i="23" s="1"/>
  <c r="N68" i="50"/>
  <c r="Z19" i="20" s="1"/>
  <c r="M68" i="50"/>
  <c r="Y19" i="20" s="1"/>
  <c r="L68" i="50"/>
  <c r="AD19" i="20" s="1"/>
  <c r="S67" i="50"/>
  <c r="R67" i="50"/>
  <c r="AE18" i="20" s="1"/>
  <c r="AP10" i="23" s="1"/>
  <c r="Q67" i="50"/>
  <c r="AC18" i="20" s="1"/>
  <c r="P67" i="50"/>
  <c r="AB18" i="20" s="1"/>
  <c r="O67" i="50"/>
  <c r="AA18" i="20" s="1"/>
  <c r="B10" i="23" s="1"/>
  <c r="N67" i="50"/>
  <c r="Z18" i="20" s="1"/>
  <c r="M67" i="50"/>
  <c r="Y18" i="20" s="1"/>
  <c r="L67" i="50"/>
  <c r="AD18" i="20" s="1"/>
  <c r="S66" i="50"/>
  <c r="R66" i="50"/>
  <c r="AE17" i="20" s="1"/>
  <c r="AP9" i="23" s="1"/>
  <c r="Q66" i="50"/>
  <c r="AC17" i="20" s="1"/>
  <c r="P66" i="50"/>
  <c r="AB17" i="20" s="1"/>
  <c r="O66" i="50"/>
  <c r="AA17" i="20" s="1"/>
  <c r="B9" i="23" s="1"/>
  <c r="N66" i="50"/>
  <c r="Z17" i="20" s="1"/>
  <c r="M66" i="50"/>
  <c r="Y17" i="20" s="1"/>
  <c r="L9" i="23" s="1"/>
  <c r="L66" i="50"/>
  <c r="AD17" i="20" s="1"/>
  <c r="H18" i="20"/>
  <c r="M27" i="50"/>
  <c r="C18" i="20" s="1"/>
  <c r="N27" i="50"/>
  <c r="D18" i="20" s="1"/>
  <c r="O27" i="50"/>
  <c r="E18" i="20" s="1"/>
  <c r="P27" i="50"/>
  <c r="F18" i="20" s="1"/>
  <c r="Q27" i="50"/>
  <c r="G18" i="20" s="1"/>
  <c r="R27" i="50"/>
  <c r="I18" i="20" s="1"/>
  <c r="S27" i="50"/>
  <c r="H19" i="20"/>
  <c r="M28" i="50"/>
  <c r="C19" i="20" s="1"/>
  <c r="N28" i="50"/>
  <c r="D19" i="20" s="1"/>
  <c r="O28" i="50"/>
  <c r="E19" i="20" s="1"/>
  <c r="P28" i="50"/>
  <c r="F19" i="20" s="1"/>
  <c r="Q28" i="50"/>
  <c r="G19" i="20" s="1"/>
  <c r="R28" i="50"/>
  <c r="I19" i="20" s="1"/>
  <c r="S28" i="50"/>
  <c r="L29" i="50"/>
  <c r="H20" i="20" s="1"/>
  <c r="M29" i="50"/>
  <c r="C20" i="20" s="1"/>
  <c r="N29" i="50"/>
  <c r="D20" i="20" s="1"/>
  <c r="O29" i="50"/>
  <c r="E20" i="20" s="1"/>
  <c r="P29" i="50"/>
  <c r="F20" i="20" s="1"/>
  <c r="Q29" i="50"/>
  <c r="G20" i="20" s="1"/>
  <c r="R29" i="50"/>
  <c r="I20" i="20" s="1"/>
  <c r="S29" i="50"/>
  <c r="H21" i="20"/>
  <c r="M30" i="50"/>
  <c r="C21" i="20" s="1"/>
  <c r="N30" i="50"/>
  <c r="D21" i="20" s="1"/>
  <c r="O30" i="50"/>
  <c r="E21" i="20" s="1"/>
  <c r="P30" i="50"/>
  <c r="F21" i="20" s="1"/>
  <c r="Q30" i="50"/>
  <c r="G21" i="20" s="1"/>
  <c r="R30" i="50"/>
  <c r="I21" i="20" s="1"/>
  <c r="S30" i="50"/>
  <c r="H22" i="20"/>
  <c r="M31" i="50"/>
  <c r="C22" i="20" s="1"/>
  <c r="N31" i="50"/>
  <c r="D22" i="20" s="1"/>
  <c r="O31" i="50"/>
  <c r="E22" i="20" s="1"/>
  <c r="P31" i="50"/>
  <c r="Q31" i="50"/>
  <c r="G22" i="20" s="1"/>
  <c r="R31" i="50"/>
  <c r="I22" i="20" s="1"/>
  <c r="S31" i="50"/>
  <c r="L32" i="50"/>
  <c r="H23" i="20" s="1"/>
  <c r="M32" i="50"/>
  <c r="C23" i="20" s="1"/>
  <c r="N32" i="50"/>
  <c r="D23" i="20" s="1"/>
  <c r="E23" i="20"/>
  <c r="P32" i="50"/>
  <c r="F23" i="20" s="1"/>
  <c r="Q32" i="50"/>
  <c r="G23" i="20" s="1"/>
  <c r="R32" i="50"/>
  <c r="I23" i="20" s="1"/>
  <c r="S32" i="50"/>
  <c r="H24" i="20"/>
  <c r="C24" i="20"/>
  <c r="D24" i="20"/>
  <c r="E24" i="20"/>
  <c r="F24" i="20"/>
  <c r="G24" i="20"/>
  <c r="I24" i="20"/>
  <c r="H25" i="20"/>
  <c r="C25" i="20"/>
  <c r="D25" i="20"/>
  <c r="E25" i="20"/>
  <c r="F25" i="20"/>
  <c r="G25" i="20"/>
  <c r="I25" i="20"/>
  <c r="H26" i="20"/>
  <c r="C26" i="20"/>
  <c r="D26" i="20"/>
  <c r="E26" i="20"/>
  <c r="F26" i="20"/>
  <c r="G26" i="20"/>
  <c r="I26" i="20"/>
  <c r="H63" i="20"/>
  <c r="D63" i="20"/>
  <c r="E63" i="20"/>
  <c r="F63" i="20"/>
  <c r="G63" i="20"/>
  <c r="I63" i="20"/>
  <c r="M26" i="50"/>
  <c r="C17" i="20" s="1"/>
  <c r="N26" i="50"/>
  <c r="D17" i="20" s="1"/>
  <c r="O26" i="50"/>
  <c r="E17" i="20" s="1"/>
  <c r="P26" i="50"/>
  <c r="F17" i="20" s="1"/>
  <c r="Q26" i="50"/>
  <c r="G17" i="20" s="1"/>
  <c r="R26" i="50"/>
  <c r="I17" i="20" s="1"/>
  <c r="S26" i="50"/>
  <c r="H17" i="20"/>
  <c r="I34" i="50"/>
  <c r="I33" i="50"/>
  <c r="I32" i="50"/>
  <c r="I31" i="50"/>
  <c r="I26" i="50"/>
  <c r="I25" i="50"/>
  <c r="V7" i="50"/>
  <c r="W7" i="50"/>
  <c r="AG7" i="50" s="1"/>
  <c r="Y7" i="50"/>
  <c r="AI7" i="50" s="1"/>
  <c r="Z7" i="50"/>
  <c r="AA7" i="50"/>
  <c r="AK7" i="50" s="1"/>
  <c r="AB7" i="50"/>
  <c r="AC7" i="50"/>
  <c r="V8" i="50"/>
  <c r="W8" i="50"/>
  <c r="AG8" i="50" s="1"/>
  <c r="X8" i="50"/>
  <c r="Y8" i="50"/>
  <c r="AI8" i="50" s="1"/>
  <c r="Z8" i="50"/>
  <c r="AA8" i="50"/>
  <c r="AK8" i="50" s="1"/>
  <c r="AB8" i="50"/>
  <c r="AC8" i="50"/>
  <c r="V9" i="50"/>
  <c r="W9" i="50"/>
  <c r="AG9" i="50" s="1"/>
  <c r="X9" i="50"/>
  <c r="AH9" i="50" s="1"/>
  <c r="Y9" i="50"/>
  <c r="AI9" i="50" s="1"/>
  <c r="Z9" i="50"/>
  <c r="AJ9" i="50" s="1"/>
  <c r="AA9" i="50"/>
  <c r="AK9" i="50" s="1"/>
  <c r="AB9" i="50"/>
  <c r="AL9" i="50" s="1"/>
  <c r="AC9" i="50"/>
  <c r="AM9" i="50" s="1"/>
  <c r="W6" i="50"/>
  <c r="X6" i="50"/>
  <c r="AH6" i="50" s="1"/>
  <c r="Y6" i="50"/>
  <c r="AI6" i="50" s="1"/>
  <c r="Z6" i="50"/>
  <c r="AJ6" i="50" s="1"/>
  <c r="AA6" i="50"/>
  <c r="AB6" i="50"/>
  <c r="AL6" i="50" s="1"/>
  <c r="AC6" i="50"/>
  <c r="V6" i="50"/>
  <c r="AF6" i="50" s="1"/>
  <c r="N18" i="10" l="1"/>
  <c r="AC91" i="50"/>
  <c r="F22" i="20"/>
  <c r="Z29" i="50"/>
  <c r="F71" i="20" s="1"/>
  <c r="Z28" i="50"/>
  <c r="F70" i="20" s="1"/>
  <c r="Z27" i="50"/>
  <c r="F69" i="20" s="1"/>
  <c r="V27" i="50"/>
  <c r="H69" i="20" s="1"/>
  <c r="AA91" i="50"/>
  <c r="R68" i="20" s="1"/>
  <c r="W91" i="50"/>
  <c r="N68" i="20" s="1"/>
  <c r="V29" i="50"/>
  <c r="H71" i="20" s="1"/>
  <c r="V28" i="50"/>
  <c r="H70" i="20" s="1"/>
  <c r="X94" i="50"/>
  <c r="O71" i="20" s="1"/>
  <c r="X93" i="50"/>
  <c r="O70" i="20" s="1"/>
  <c r="X92" i="50"/>
  <c r="O69" i="20" s="1"/>
  <c r="F75" i="20"/>
  <c r="H76" i="20"/>
  <c r="H75" i="20"/>
  <c r="V32" i="50"/>
  <c r="H74" i="20" s="1"/>
  <c r="V31" i="50"/>
  <c r="H73" i="20" s="1"/>
  <c r="V30" i="50"/>
  <c r="H72" i="20" s="1"/>
  <c r="Z31" i="50"/>
  <c r="F73" i="20" s="1"/>
  <c r="Z32" i="50"/>
  <c r="F74" i="20" s="1"/>
  <c r="F93" i="20"/>
  <c r="F76" i="20"/>
  <c r="Z30" i="50"/>
  <c r="F72" i="20" s="1"/>
  <c r="O75" i="20"/>
  <c r="X97" i="50"/>
  <c r="O74" i="20" s="1"/>
  <c r="X96" i="50"/>
  <c r="O73" i="20" s="1"/>
  <c r="X95" i="50"/>
  <c r="O72" i="20" s="1"/>
  <c r="AR16" i="23"/>
  <c r="AQ10" i="23"/>
  <c r="AH17" i="23"/>
  <c r="AH14" i="23"/>
  <c r="AR14" i="23"/>
  <c r="AF9" i="23"/>
  <c r="AF10" i="23"/>
  <c r="AF11" i="23"/>
  <c r="AF12" i="23"/>
  <c r="AF13" i="23"/>
  <c r="AG14" i="23"/>
  <c r="AF15" i="23"/>
  <c r="AF16" i="23"/>
  <c r="AF17" i="23"/>
  <c r="AF18" i="23"/>
  <c r="AF19" i="23"/>
  <c r="AB91" i="50"/>
  <c r="T68" i="20" s="1"/>
  <c r="R76" i="20"/>
  <c r="R75" i="20"/>
  <c r="AA97" i="50"/>
  <c r="R74" i="20" s="1"/>
  <c r="AA96" i="50"/>
  <c r="R73" i="20" s="1"/>
  <c r="AA95" i="50"/>
  <c r="R72" i="20" s="1"/>
  <c r="AA94" i="50"/>
  <c r="R71" i="20" s="1"/>
  <c r="AA93" i="50"/>
  <c r="R70" i="20" s="1"/>
  <c r="AA92" i="50"/>
  <c r="R69" i="20" s="1"/>
  <c r="AG9" i="23"/>
  <c r="U18" i="20"/>
  <c r="AR15" i="23"/>
  <c r="AQ13" i="23"/>
  <c r="AR18" i="23"/>
  <c r="AQ11" i="23"/>
  <c r="N78" i="20"/>
  <c r="N76" i="20"/>
  <c r="N75" i="20"/>
  <c r="W97" i="50"/>
  <c r="N74" i="20" s="1"/>
  <c r="W96" i="50"/>
  <c r="N73" i="20" s="1"/>
  <c r="W95" i="50"/>
  <c r="N72" i="20" s="1"/>
  <c r="W94" i="50"/>
  <c r="N71" i="20" s="1"/>
  <c r="W93" i="50"/>
  <c r="N70" i="20" s="1"/>
  <c r="W92" i="50"/>
  <c r="N69" i="20" s="1"/>
  <c r="AH19" i="23"/>
  <c r="AH18" i="23"/>
  <c r="AH16" i="23"/>
  <c r="AH15" i="23"/>
  <c r="AH13" i="23"/>
  <c r="AQ17" i="23"/>
  <c r="AQ12" i="23"/>
  <c r="T78" i="20"/>
  <c r="T76" i="20"/>
  <c r="AH12" i="23"/>
  <c r="AH11" i="23"/>
  <c r="AH10" i="23"/>
  <c r="AR19" i="23"/>
  <c r="U25" i="20"/>
  <c r="R52" i="20"/>
  <c r="R53" i="20"/>
  <c r="R33" i="20"/>
  <c r="R41" i="20"/>
  <c r="R57" i="20"/>
  <c r="R35" i="20"/>
  <c r="R46" i="20"/>
  <c r="R39" i="20"/>
  <c r="R47" i="20"/>
  <c r="R60" i="20"/>
  <c r="R54" i="20"/>
  <c r="R40" i="20"/>
  <c r="R49" i="20"/>
  <c r="R61" i="20"/>
  <c r="R51" i="20"/>
  <c r="R34" i="20"/>
  <c r="R42" i="20"/>
  <c r="R58" i="20"/>
  <c r="R43" i="20"/>
  <c r="R59" i="20"/>
  <c r="R36" i="20"/>
  <c r="R37" i="20"/>
  <c r="R55" i="20"/>
  <c r="R44" i="20"/>
  <c r="R48" i="20"/>
  <c r="R38" i="20"/>
  <c r="R56" i="20"/>
  <c r="R45" i="20"/>
  <c r="R50" i="20"/>
  <c r="X91" i="50"/>
  <c r="O68" i="20" s="1"/>
  <c r="N77" i="20"/>
  <c r="N17" i="23"/>
  <c r="D17" i="23"/>
  <c r="AG15" i="23"/>
  <c r="AQ9" i="23"/>
  <c r="AG19" i="23"/>
  <c r="AG12" i="23"/>
  <c r="AA9" i="14"/>
  <c r="AA7" i="14"/>
  <c r="AA6" i="14"/>
  <c r="Q78" i="20"/>
  <c r="Q77" i="20"/>
  <c r="Q76" i="20"/>
  <c r="Q75" i="20"/>
  <c r="Z97" i="50"/>
  <c r="Q74" i="20" s="1"/>
  <c r="Z96" i="50"/>
  <c r="Q73" i="20" s="1"/>
  <c r="Z95" i="50"/>
  <c r="Q72" i="20" s="1"/>
  <c r="Z93" i="50"/>
  <c r="Q70" i="20" s="1"/>
  <c r="AF47" i="10"/>
  <c r="E47" i="10"/>
  <c r="AF23" i="10"/>
  <c r="E23" i="10"/>
  <c r="N16" i="23"/>
  <c r="D16" i="23"/>
  <c r="E46" i="10"/>
  <c r="AF46" i="10"/>
  <c r="E30" i="10"/>
  <c r="AF30" i="10"/>
  <c r="N15" i="23"/>
  <c r="D15" i="23"/>
  <c r="E21" i="10"/>
  <c r="AF37" i="10"/>
  <c r="E37" i="10"/>
  <c r="E20" i="10"/>
  <c r="N13" i="23"/>
  <c r="D13" i="23"/>
  <c r="N18" i="23"/>
  <c r="D18" i="23"/>
  <c r="E19" i="10"/>
  <c r="I75" i="20"/>
  <c r="AB32" i="50"/>
  <c r="I74" i="20" s="1"/>
  <c r="AB31" i="50"/>
  <c r="I73" i="20" s="1"/>
  <c r="AB30" i="50"/>
  <c r="I72" i="20" s="1"/>
  <c r="AB29" i="50"/>
  <c r="I71" i="20" s="1"/>
  <c r="AB28" i="50"/>
  <c r="I70" i="20" s="1"/>
  <c r="AB27" i="50"/>
  <c r="I69" i="20" s="1"/>
  <c r="I101" i="20"/>
  <c r="I100" i="20"/>
  <c r="I99" i="20"/>
  <c r="I96" i="20"/>
  <c r="I91" i="20"/>
  <c r="I107" i="20"/>
  <c r="I93" i="20"/>
  <c r="I106" i="20"/>
  <c r="I111" i="20"/>
  <c r="I105" i="20"/>
  <c r="I102" i="20"/>
  <c r="I84" i="20"/>
  <c r="I97" i="20"/>
  <c r="I110" i="20"/>
  <c r="I98" i="20"/>
  <c r="I95" i="20"/>
  <c r="I90" i="20"/>
  <c r="I87" i="20"/>
  <c r="I92" i="20"/>
  <c r="I89" i="20"/>
  <c r="I85" i="20"/>
  <c r="I109" i="20"/>
  <c r="I94" i="20"/>
  <c r="I86" i="20"/>
  <c r="I88" i="20"/>
  <c r="I103" i="20"/>
  <c r="I108" i="20"/>
  <c r="I112" i="20"/>
  <c r="I104" i="20"/>
  <c r="AL46" i="50"/>
  <c r="AF7" i="50"/>
  <c r="J21" i="20"/>
  <c r="J20" i="20"/>
  <c r="J19" i="20"/>
  <c r="J18" i="20"/>
  <c r="AF18" i="20"/>
  <c r="AF19" i="20"/>
  <c r="AF20" i="20"/>
  <c r="AF21" i="20"/>
  <c r="AF22" i="20"/>
  <c r="Y91" i="50"/>
  <c r="P68" i="20" s="1"/>
  <c r="O78" i="20"/>
  <c r="T77" i="20"/>
  <c r="O77" i="20"/>
  <c r="O76" i="20"/>
  <c r="T75" i="20"/>
  <c r="AB97" i="50"/>
  <c r="T74" i="20" s="1"/>
  <c r="AB96" i="50"/>
  <c r="T73" i="20" s="1"/>
  <c r="AB95" i="50"/>
  <c r="T72" i="20" s="1"/>
  <c r="AB94" i="50"/>
  <c r="T71" i="20" s="1"/>
  <c r="AB93" i="50"/>
  <c r="T70" i="20" s="1"/>
  <c r="AB92" i="50"/>
  <c r="T69" i="20" s="1"/>
  <c r="N14" i="23"/>
  <c r="D14" i="23"/>
  <c r="AF51" i="10"/>
  <c r="E51" i="10"/>
  <c r="AF43" i="10"/>
  <c r="E43" i="10"/>
  <c r="AF35" i="10"/>
  <c r="E35" i="10"/>
  <c r="AF27" i="10"/>
  <c r="AD27" i="10" s="1"/>
  <c r="E27" i="10"/>
  <c r="L11" i="23"/>
  <c r="AG16" i="23"/>
  <c r="AG10" i="23"/>
  <c r="E50" i="10"/>
  <c r="AF50" i="10"/>
  <c r="E42" i="10"/>
  <c r="AF42" i="10"/>
  <c r="E34" i="10"/>
  <c r="AF34" i="10"/>
  <c r="E26" i="10"/>
  <c r="AF26" i="10"/>
  <c r="AH9" i="23"/>
  <c r="AF49" i="10"/>
  <c r="E49" i="10"/>
  <c r="AF41" i="10"/>
  <c r="E41" i="10"/>
  <c r="AF33" i="10"/>
  <c r="E33" i="10"/>
  <c r="AF25" i="10"/>
  <c r="E25" i="10"/>
  <c r="AQ19" i="23"/>
  <c r="AG13" i="23"/>
  <c r="C19" i="10"/>
  <c r="E48" i="10"/>
  <c r="AF48" i="10"/>
  <c r="E40" i="10"/>
  <c r="AF40" i="10"/>
  <c r="E32" i="10"/>
  <c r="AF32" i="10"/>
  <c r="E24" i="10"/>
  <c r="AF24" i="10"/>
  <c r="U27" i="20"/>
  <c r="U26" i="20"/>
  <c r="U24" i="20"/>
  <c r="U23" i="20"/>
  <c r="N34" i="20"/>
  <c r="N47" i="20"/>
  <c r="N48" i="20"/>
  <c r="N45" i="20"/>
  <c r="N61" i="20"/>
  <c r="N42" i="20"/>
  <c r="N39" i="20"/>
  <c r="N40" i="20"/>
  <c r="N37" i="20"/>
  <c r="N54" i="20"/>
  <c r="N43" i="20"/>
  <c r="N44" i="20"/>
  <c r="N41" i="20"/>
  <c r="N46" i="20"/>
  <c r="U22" i="20"/>
  <c r="N35" i="20"/>
  <c r="N51" i="20"/>
  <c r="N36" i="20"/>
  <c r="N52" i="20"/>
  <c r="N33" i="20"/>
  <c r="N49" i="20"/>
  <c r="N38" i="20"/>
  <c r="N58" i="20"/>
  <c r="N55" i="20"/>
  <c r="N56" i="20"/>
  <c r="N53" i="20"/>
  <c r="N50" i="20"/>
  <c r="N59" i="20"/>
  <c r="N60" i="20"/>
  <c r="N57" i="20"/>
  <c r="U21" i="20"/>
  <c r="U20" i="20"/>
  <c r="U19" i="20"/>
  <c r="R78" i="20"/>
  <c r="R77" i="20"/>
  <c r="AF14" i="23"/>
  <c r="AG11" i="23"/>
  <c r="M10" i="23"/>
  <c r="O10" i="23" s="1"/>
  <c r="N9" i="23"/>
  <c r="D9" i="23"/>
  <c r="AG18" i="23"/>
  <c r="AL16" i="14"/>
  <c r="AA8" i="14"/>
  <c r="AM8" i="50"/>
  <c r="AA5" i="14"/>
  <c r="AM7" i="50"/>
  <c r="AA4" i="14"/>
  <c r="U17" i="20"/>
  <c r="Q39" i="20"/>
  <c r="Q54" i="20"/>
  <c r="Q34" i="20"/>
  <c r="Q53" i="20"/>
  <c r="Q59" i="20"/>
  <c r="Q43" i="20"/>
  <c r="Q47" i="20"/>
  <c r="Q49" i="20"/>
  <c r="Q61" i="20"/>
  <c r="Q45" i="20"/>
  <c r="Q40" i="20"/>
  <c r="Q48" i="20"/>
  <c r="Q33" i="20"/>
  <c r="Q60" i="20"/>
  <c r="Q44" i="20"/>
  <c r="Q56" i="20"/>
  <c r="Q42" i="20"/>
  <c r="Q57" i="20"/>
  <c r="Q55" i="20"/>
  <c r="Q58" i="20"/>
  <c r="Q52" i="20"/>
  <c r="Q50" i="20"/>
  <c r="Q35" i="20"/>
  <c r="Q51" i="20"/>
  <c r="Q46" i="20"/>
  <c r="Q41" i="20"/>
  <c r="Q36" i="20"/>
  <c r="Q37" i="20"/>
  <c r="Q38" i="20"/>
  <c r="S78" i="20"/>
  <c r="S77" i="20"/>
  <c r="S76" i="20"/>
  <c r="S75" i="20"/>
  <c r="V97" i="50"/>
  <c r="S74" i="20" s="1"/>
  <c r="V96" i="50"/>
  <c r="S73" i="20" s="1"/>
  <c r="V95" i="50"/>
  <c r="S72" i="20" s="1"/>
  <c r="Z94" i="50"/>
  <c r="Q71" i="20" s="1"/>
  <c r="V94" i="50"/>
  <c r="S71" i="20" s="1"/>
  <c r="V93" i="50"/>
  <c r="S70" i="20" s="1"/>
  <c r="Z92" i="50"/>
  <c r="Q69" i="20" s="1"/>
  <c r="V92" i="50"/>
  <c r="S69" i="20" s="1"/>
  <c r="AF39" i="10"/>
  <c r="E39" i="10"/>
  <c r="AF31" i="10"/>
  <c r="E31" i="10"/>
  <c r="M17" i="23"/>
  <c r="O17" i="23" s="1"/>
  <c r="M11" i="23"/>
  <c r="O11" i="23" s="1"/>
  <c r="N10" i="23"/>
  <c r="D10" i="23"/>
  <c r="E38" i="10"/>
  <c r="AF38" i="10"/>
  <c r="E22" i="10"/>
  <c r="AF45" i="10"/>
  <c r="E45" i="10"/>
  <c r="AF29" i="10"/>
  <c r="E29" i="10"/>
  <c r="M19" i="23"/>
  <c r="O19" i="23" s="1"/>
  <c r="M12" i="23"/>
  <c r="O12" i="23" s="1"/>
  <c r="E18" i="10"/>
  <c r="AF44" i="10"/>
  <c r="E44" i="10"/>
  <c r="AF36" i="10"/>
  <c r="E36" i="10"/>
  <c r="AF28" i="10"/>
  <c r="E28" i="10"/>
  <c r="AM6" i="50"/>
  <c r="AA3" i="14"/>
  <c r="AB3" i="14" s="1"/>
  <c r="I114" i="20"/>
  <c r="I76" i="20"/>
  <c r="AA78" i="20"/>
  <c r="P40" i="20"/>
  <c r="P59" i="20"/>
  <c r="P34" i="20"/>
  <c r="P51" i="20"/>
  <c r="P38" i="20"/>
  <c r="P47" i="20"/>
  <c r="P44" i="20"/>
  <c r="P41" i="20"/>
  <c r="P36" i="20"/>
  <c r="P57" i="20"/>
  <c r="P43" i="20"/>
  <c r="P39" i="20"/>
  <c r="P37" i="20"/>
  <c r="P55" i="20"/>
  <c r="P60" i="20"/>
  <c r="P45" i="20"/>
  <c r="P35" i="20"/>
  <c r="P54" i="20"/>
  <c r="P50" i="20"/>
  <c r="P46" i="20"/>
  <c r="P58" i="20"/>
  <c r="P53" i="20"/>
  <c r="P42" i="20"/>
  <c r="P49" i="20"/>
  <c r="P61" i="20"/>
  <c r="P56" i="20"/>
  <c r="P52" i="20"/>
  <c r="P48" i="20"/>
  <c r="V91" i="50"/>
  <c r="S68" i="20" s="1"/>
  <c r="Z91" i="50"/>
  <c r="Q68" i="20" s="1"/>
  <c r="P78" i="20"/>
  <c r="P77" i="20"/>
  <c r="P76" i="20"/>
  <c r="P75" i="20"/>
  <c r="AC97" i="50"/>
  <c r="Y97" i="50"/>
  <c r="P74" i="20" s="1"/>
  <c r="AC96" i="50"/>
  <c r="Y96" i="50"/>
  <c r="P73" i="20" s="1"/>
  <c r="AC95" i="50"/>
  <c r="Y95" i="50"/>
  <c r="P72" i="20" s="1"/>
  <c r="AC94" i="50"/>
  <c r="Y94" i="50"/>
  <c r="P71" i="20" s="1"/>
  <c r="AC93" i="50"/>
  <c r="Y93" i="50"/>
  <c r="P70" i="20" s="1"/>
  <c r="AC92" i="50"/>
  <c r="Y92" i="50"/>
  <c r="P69" i="20" s="1"/>
  <c r="M14" i="23"/>
  <c r="O14" i="23" s="1"/>
  <c r="AG17" i="23"/>
  <c r="N11" i="23"/>
  <c r="D11" i="23"/>
  <c r="L10" i="23"/>
  <c r="M9" i="23"/>
  <c r="O9" i="23" s="1"/>
  <c r="N19" i="23"/>
  <c r="D19" i="23"/>
  <c r="M13" i="23"/>
  <c r="O13" i="23" s="1"/>
  <c r="L13" i="23"/>
  <c r="N12" i="23"/>
  <c r="D12" i="23"/>
  <c r="AM72" i="50"/>
  <c r="AL8" i="50"/>
  <c r="AA26" i="50"/>
  <c r="W26" i="50"/>
  <c r="Y72" i="50"/>
  <c r="AF29" i="50"/>
  <c r="AJ7" i="50"/>
  <c r="AF9" i="50"/>
  <c r="V66" i="50"/>
  <c r="Z66" i="50"/>
  <c r="V67" i="50"/>
  <c r="Z67" i="50"/>
  <c r="V68" i="50"/>
  <c r="Z68" i="50"/>
  <c r="V69" i="50"/>
  <c r="Z69" i="50"/>
  <c r="V70" i="50"/>
  <c r="Z70" i="50"/>
  <c r="V71" i="50"/>
  <c r="Z71" i="50"/>
  <c r="V72" i="50"/>
  <c r="Z72" i="50"/>
  <c r="AC66" i="50"/>
  <c r="AM66" i="50" s="1"/>
  <c r="Y70" i="50"/>
  <c r="AB69" i="50"/>
  <c r="AG6" i="50"/>
  <c r="AF8" i="50"/>
  <c r="W66" i="50"/>
  <c r="AA66" i="50"/>
  <c r="W67" i="50"/>
  <c r="AA67" i="50"/>
  <c r="W68" i="50"/>
  <c r="AA68" i="50"/>
  <c r="W69" i="50"/>
  <c r="AA69" i="50"/>
  <c r="W70" i="50"/>
  <c r="AA70" i="50"/>
  <c r="W71" i="50"/>
  <c r="AA71" i="50"/>
  <c r="W72" i="50"/>
  <c r="AA72" i="50"/>
  <c r="AC67" i="50"/>
  <c r="AM67" i="50" s="1"/>
  <c r="AB71" i="50"/>
  <c r="AK6" i="50"/>
  <c r="AJ8" i="50"/>
  <c r="AB68" i="50"/>
  <c r="AJ28" i="50"/>
  <c r="AF28" i="50"/>
  <c r="AJ27" i="50"/>
  <c r="AF27" i="50"/>
  <c r="AL7" i="50"/>
  <c r="AC26" i="50"/>
  <c r="AM26" i="50" s="1"/>
  <c r="AJ29" i="50"/>
  <c r="X32" i="50"/>
  <c r="X31" i="50"/>
  <c r="X28" i="50"/>
  <c r="AH8" i="50"/>
  <c r="AH7" i="50"/>
  <c r="X27" i="50"/>
  <c r="Y26" i="50"/>
  <c r="X30" i="50"/>
  <c r="X29" i="50"/>
  <c r="AB26" i="50"/>
  <c r="X26" i="50"/>
  <c r="W33" i="50"/>
  <c r="AG33" i="50" s="1"/>
  <c r="AA32" i="50"/>
  <c r="W32" i="50"/>
  <c r="AA31" i="50"/>
  <c r="W31" i="50"/>
  <c r="AA30" i="50"/>
  <c r="W30" i="50"/>
  <c r="AA29" i="50"/>
  <c r="W29" i="50"/>
  <c r="AA28" i="50"/>
  <c r="W28" i="50"/>
  <c r="AA27" i="50"/>
  <c r="W27" i="50"/>
  <c r="X72" i="50"/>
  <c r="AB72" i="50"/>
  <c r="AE74" i="20" s="1"/>
  <c r="X66" i="50"/>
  <c r="X67" i="50"/>
  <c r="AC68" i="50"/>
  <c r="AM68" i="50" s="1"/>
  <c r="AC69" i="50"/>
  <c r="AM69" i="50" s="1"/>
  <c r="AB70" i="50"/>
  <c r="Y66" i="50"/>
  <c r="Y67" i="50"/>
  <c r="X68" i="50"/>
  <c r="X69" i="50"/>
  <c r="AC70" i="50"/>
  <c r="AM70" i="50" s="1"/>
  <c r="V26" i="50"/>
  <c r="Z26" i="50"/>
  <c r="AC32" i="50"/>
  <c r="AM32" i="50" s="1"/>
  <c r="Y32" i="50"/>
  <c r="AC31" i="50"/>
  <c r="AM31" i="50" s="1"/>
  <c r="Y31" i="50"/>
  <c r="AC30" i="50"/>
  <c r="AM30" i="50" s="1"/>
  <c r="Y30" i="50"/>
  <c r="AC29" i="50"/>
  <c r="AM29" i="50" s="1"/>
  <c r="Y29" i="50"/>
  <c r="AC28" i="50"/>
  <c r="AM28" i="50" s="1"/>
  <c r="Y28" i="50"/>
  <c r="AC27" i="50"/>
  <c r="AM27" i="50" s="1"/>
  <c r="Y27" i="50"/>
  <c r="AB66" i="50"/>
  <c r="AB67" i="50"/>
  <c r="Y68" i="50"/>
  <c r="Y69" i="50"/>
  <c r="X70" i="50"/>
  <c r="X71" i="50"/>
  <c r="AF46" i="50"/>
  <c r="AF47" i="50"/>
  <c r="AF48" i="50"/>
  <c r="AF49" i="50"/>
  <c r="AG46" i="50"/>
  <c r="AG47" i="50"/>
  <c r="AG48" i="50"/>
  <c r="AG49" i="50"/>
  <c r="AJ46" i="50"/>
  <c r="AJ47" i="50"/>
  <c r="AJ48" i="50"/>
  <c r="AJ49" i="50"/>
  <c r="AK46" i="50"/>
  <c r="AK47" i="50"/>
  <c r="AK48" i="50"/>
  <c r="AK49" i="50"/>
  <c r="Y71" i="50"/>
  <c r="AC71" i="50"/>
  <c r="AM71" i="50" s="1"/>
  <c r="AR9" i="22"/>
  <c r="AR15" i="22"/>
  <c r="AR16" i="22"/>
  <c r="AR17" i="22"/>
  <c r="AR18" i="22"/>
  <c r="AR19" i="22"/>
  <c r="AQ9" i="22"/>
  <c r="AQ15" i="22"/>
  <c r="AQ16" i="22"/>
  <c r="AQ17" i="22"/>
  <c r="AQ18" i="22"/>
  <c r="AQ19" i="22"/>
  <c r="AF18" i="22"/>
  <c r="AF17" i="22"/>
  <c r="AF16" i="22"/>
  <c r="AF15" i="22"/>
  <c r="AF19" i="22"/>
  <c r="AO120" i="20"/>
  <c r="AG9" i="22" s="1"/>
  <c r="D9" i="22"/>
  <c r="D15" i="22"/>
  <c r="D16" i="22"/>
  <c r="D17" i="22"/>
  <c r="D18" i="22"/>
  <c r="D19" i="22"/>
  <c r="C9" i="22"/>
  <c r="E9" i="22" s="1"/>
  <c r="C15" i="22"/>
  <c r="E15" i="22" s="1"/>
  <c r="C16" i="22"/>
  <c r="E16" i="22" s="1"/>
  <c r="C17" i="22"/>
  <c r="E17" i="22" s="1"/>
  <c r="C18" i="22"/>
  <c r="E18" i="22" s="1"/>
  <c r="C19" i="22"/>
  <c r="E19" i="22" s="1"/>
  <c r="AO127" i="20"/>
  <c r="AQ127" i="20" s="1"/>
  <c r="AO128" i="20"/>
  <c r="AQ128" i="20" s="1"/>
  <c r="AO129" i="20"/>
  <c r="AQ129" i="20" s="1"/>
  <c r="AO130" i="20"/>
  <c r="AQ130" i="20" s="1"/>
  <c r="AO131" i="20"/>
  <c r="AQ131" i="20" s="1"/>
  <c r="AO132" i="20"/>
  <c r="AQ132" i="20" s="1"/>
  <c r="AO133" i="20"/>
  <c r="AQ133" i="20" s="1"/>
  <c r="AO134" i="20"/>
  <c r="AQ134" i="20" s="1"/>
  <c r="AO135" i="20"/>
  <c r="AQ135" i="20" s="1"/>
  <c r="AQ136" i="20"/>
  <c r="AQ137" i="20"/>
  <c r="AQ138" i="20"/>
  <c r="AO139" i="20"/>
  <c r="AQ139" i="20" s="1"/>
  <c r="AO140" i="20"/>
  <c r="AQ140" i="20" s="1"/>
  <c r="AO141" i="20"/>
  <c r="AQ141" i="20" s="1"/>
  <c r="AO142" i="20"/>
  <c r="AQ142" i="20" s="1"/>
  <c r="AO143" i="20"/>
  <c r="AQ143" i="20" s="1"/>
  <c r="AO144" i="20"/>
  <c r="AQ144" i="20" s="1"/>
  <c r="AO145" i="20"/>
  <c r="AQ145" i="20" s="1"/>
  <c r="AO146" i="20"/>
  <c r="AQ146" i="20" s="1"/>
  <c r="AO147" i="20"/>
  <c r="AQ147" i="20" s="1"/>
  <c r="AO148" i="20"/>
  <c r="AQ148" i="20" s="1"/>
  <c r="AO149" i="20"/>
  <c r="AQ149" i="20" s="1"/>
  <c r="AO150" i="20"/>
  <c r="AQ150" i="20" s="1"/>
  <c r="AO151" i="20"/>
  <c r="AQ151" i="20" s="1"/>
  <c r="AO152" i="20"/>
  <c r="AQ152" i="20" s="1"/>
  <c r="AO153" i="20"/>
  <c r="AQ153" i="20" s="1"/>
  <c r="AO154" i="20"/>
  <c r="AQ154" i="20" s="1"/>
  <c r="AO155" i="20"/>
  <c r="AQ155" i="20" s="1"/>
  <c r="AO156" i="20"/>
  <c r="AQ156" i="20" s="1"/>
  <c r="AO157" i="20"/>
  <c r="AQ157" i="20" s="1"/>
  <c r="AO158" i="20"/>
  <c r="AQ158" i="20" s="1"/>
  <c r="AO159" i="20"/>
  <c r="AQ159" i="20" s="1"/>
  <c r="AO160" i="20"/>
  <c r="AQ160" i="20" s="1"/>
  <c r="AO161" i="20"/>
  <c r="AQ161" i="20" s="1"/>
  <c r="AO162" i="20"/>
  <c r="AQ162" i="20" s="1"/>
  <c r="AO163" i="20"/>
  <c r="AQ163" i="20" s="1"/>
  <c r="AO164" i="20"/>
  <c r="AQ164" i="20" s="1"/>
  <c r="AO126" i="20"/>
  <c r="AH15" i="22" s="1"/>
  <c r="AA140" i="20" l="1"/>
  <c r="Z140" i="20"/>
  <c r="N19" i="10"/>
  <c r="AL27" i="50"/>
  <c r="AJ31" i="50"/>
  <c r="F106" i="20"/>
  <c r="F92" i="20"/>
  <c r="AJ32" i="50"/>
  <c r="F112" i="20"/>
  <c r="F88" i="20"/>
  <c r="F100" i="20"/>
  <c r="F86" i="20"/>
  <c r="F84" i="20"/>
  <c r="F109" i="20"/>
  <c r="F91" i="20"/>
  <c r="F101" i="20"/>
  <c r="F95" i="20"/>
  <c r="F102" i="20"/>
  <c r="F99" i="20"/>
  <c r="F98" i="20"/>
  <c r="F108" i="20"/>
  <c r="F110" i="20"/>
  <c r="F89" i="20"/>
  <c r="F87" i="20"/>
  <c r="F107" i="20"/>
  <c r="F85" i="20"/>
  <c r="F105" i="20"/>
  <c r="F103" i="20"/>
  <c r="F104" i="20"/>
  <c r="F94" i="20"/>
  <c r="F97" i="20"/>
  <c r="F111" i="20"/>
  <c r="F96" i="20"/>
  <c r="F90" i="20"/>
  <c r="AL31" i="50"/>
  <c r="U70" i="20"/>
  <c r="AL29" i="50"/>
  <c r="H105" i="20"/>
  <c r="AF30" i="50"/>
  <c r="U69" i="20"/>
  <c r="AL28" i="50"/>
  <c r="AF31" i="50"/>
  <c r="H102" i="20"/>
  <c r="H104" i="20"/>
  <c r="H95" i="20"/>
  <c r="H85" i="20"/>
  <c r="H111" i="20"/>
  <c r="H110" i="20"/>
  <c r="H91" i="20"/>
  <c r="H103" i="20"/>
  <c r="H106" i="20"/>
  <c r="H109" i="20"/>
  <c r="H96" i="20"/>
  <c r="H108" i="20"/>
  <c r="H94" i="20"/>
  <c r="H97" i="20"/>
  <c r="H101" i="20"/>
  <c r="H88" i="20"/>
  <c r="H98" i="20"/>
  <c r="H107" i="20"/>
  <c r="H90" i="20"/>
  <c r="H99" i="20"/>
  <c r="H92" i="20"/>
  <c r="H86" i="20"/>
  <c r="H89" i="20"/>
  <c r="H87" i="20"/>
  <c r="H100" i="20"/>
  <c r="H93" i="20"/>
  <c r="AF32" i="50"/>
  <c r="H112" i="20"/>
  <c r="H84" i="20"/>
  <c r="AL32" i="50"/>
  <c r="AL30" i="50"/>
  <c r="AJ30" i="50"/>
  <c r="N98" i="20"/>
  <c r="R102" i="20"/>
  <c r="U75" i="20"/>
  <c r="N97" i="20"/>
  <c r="N90" i="20"/>
  <c r="U72" i="20"/>
  <c r="R107" i="20"/>
  <c r="N84" i="20"/>
  <c r="N111" i="20"/>
  <c r="R86" i="20"/>
  <c r="R97" i="20"/>
  <c r="U71" i="20"/>
  <c r="R91" i="20"/>
  <c r="U68" i="20"/>
  <c r="R101" i="20"/>
  <c r="N106" i="20"/>
  <c r="R110" i="20"/>
  <c r="U78" i="20"/>
  <c r="R94" i="20"/>
  <c r="AA75" i="20"/>
  <c r="AG32" i="50"/>
  <c r="C74" i="20"/>
  <c r="AH30" i="50"/>
  <c r="D72" i="20"/>
  <c r="AK72" i="50"/>
  <c r="AC74" i="20"/>
  <c r="AK66" i="50"/>
  <c r="AC68" i="20"/>
  <c r="AJ71" i="50"/>
  <c r="AB73" i="20"/>
  <c r="AK26" i="50"/>
  <c r="G68" i="20"/>
  <c r="AD78" i="20"/>
  <c r="E76" i="20"/>
  <c r="AK28" i="50"/>
  <c r="G70" i="20"/>
  <c r="AG68" i="50"/>
  <c r="Y70" i="20"/>
  <c r="AG66" i="50"/>
  <c r="Y68" i="20"/>
  <c r="AI70" i="50"/>
  <c r="AA72" i="20"/>
  <c r="AD77" i="20"/>
  <c r="AD75" i="20"/>
  <c r="AF71" i="50"/>
  <c r="AD73" i="20"/>
  <c r="AL72" i="50"/>
  <c r="AM3" i="14"/>
  <c r="AN3" i="14" s="1"/>
  <c r="AM4" i="14"/>
  <c r="AB4" i="14"/>
  <c r="AM8" i="14"/>
  <c r="AB8" i="14"/>
  <c r="C20" i="10"/>
  <c r="AM6" i="14"/>
  <c r="AB6" i="14"/>
  <c r="AM9" i="14"/>
  <c r="AB9" i="14"/>
  <c r="AM12" i="14"/>
  <c r="AB12" i="14"/>
  <c r="N103" i="20"/>
  <c r="N109" i="20"/>
  <c r="N93" i="20"/>
  <c r="N107" i="20"/>
  <c r="N112" i="20"/>
  <c r="N104" i="20"/>
  <c r="N96" i="20"/>
  <c r="N88" i="20"/>
  <c r="R89" i="20"/>
  <c r="R103" i="20"/>
  <c r="R87" i="20"/>
  <c r="R93" i="20"/>
  <c r="R108" i="20"/>
  <c r="R100" i="20"/>
  <c r="R92" i="20"/>
  <c r="R84" i="20"/>
  <c r="U76" i="20"/>
  <c r="AL67" i="50"/>
  <c r="AE69" i="20"/>
  <c r="AI66" i="50"/>
  <c r="AA68" i="20"/>
  <c r="AH67" i="50"/>
  <c r="Z69" i="20"/>
  <c r="AG28" i="50"/>
  <c r="C70" i="20"/>
  <c r="AI26" i="50"/>
  <c r="E68" i="20"/>
  <c r="AL71" i="50"/>
  <c r="AE73" i="20"/>
  <c r="AK68" i="50"/>
  <c r="AC70" i="20"/>
  <c r="AL69" i="50"/>
  <c r="AE71" i="20"/>
  <c r="AB75" i="20"/>
  <c r="AJ67" i="50"/>
  <c r="AB69" i="20"/>
  <c r="P85" i="20"/>
  <c r="P87" i="20"/>
  <c r="P89" i="20"/>
  <c r="P91" i="20"/>
  <c r="P93" i="20"/>
  <c r="P95" i="20"/>
  <c r="P97" i="20"/>
  <c r="P99" i="20"/>
  <c r="P101" i="20"/>
  <c r="P103" i="20"/>
  <c r="P105" i="20"/>
  <c r="P107" i="20"/>
  <c r="P109" i="20"/>
  <c r="P111" i="20"/>
  <c r="P88" i="20"/>
  <c r="P96" i="20"/>
  <c r="P104" i="20"/>
  <c r="P112" i="20"/>
  <c r="P86" i="20"/>
  <c r="P90" i="20"/>
  <c r="P94" i="20"/>
  <c r="P98" i="20"/>
  <c r="P102" i="20"/>
  <c r="P106" i="20"/>
  <c r="P110" i="20"/>
  <c r="P84" i="20"/>
  <c r="P92" i="20"/>
  <c r="P100" i="20"/>
  <c r="P108" i="20"/>
  <c r="AC78" i="20"/>
  <c r="Y75" i="20"/>
  <c r="AH70" i="50"/>
  <c r="Z72" i="20"/>
  <c r="AI28" i="50"/>
  <c r="E70" i="20"/>
  <c r="AI32" i="50"/>
  <c r="E74" i="20"/>
  <c r="AE77" i="20"/>
  <c r="AH66" i="50"/>
  <c r="Z68" i="20"/>
  <c r="AK30" i="50"/>
  <c r="G72" i="20"/>
  <c r="G76" i="20"/>
  <c r="AA76" i="20"/>
  <c r="AG72" i="50"/>
  <c r="Y74" i="20"/>
  <c r="AF67" i="50"/>
  <c r="AD69" i="20"/>
  <c r="AI71" i="50"/>
  <c r="AA73" i="20"/>
  <c r="Y78" i="20"/>
  <c r="Y77" i="20"/>
  <c r="AI69" i="50"/>
  <c r="AA71" i="20"/>
  <c r="AH68" i="50"/>
  <c r="Z70" i="20"/>
  <c r="AC77" i="20"/>
  <c r="AE75" i="20"/>
  <c r="AG27" i="50"/>
  <c r="C69" i="20"/>
  <c r="AG29" i="50"/>
  <c r="C71" i="20"/>
  <c r="AG31" i="50"/>
  <c r="C73" i="20"/>
  <c r="C75" i="20"/>
  <c r="AH26" i="50"/>
  <c r="D68" i="20"/>
  <c r="AH29" i="50"/>
  <c r="D71" i="20"/>
  <c r="D75" i="20"/>
  <c r="AH28" i="50"/>
  <c r="D70" i="20"/>
  <c r="AH32" i="50"/>
  <c r="D74" i="20"/>
  <c r="AL68" i="50"/>
  <c r="AE70" i="20"/>
  <c r="AC76" i="20"/>
  <c r="AK71" i="50"/>
  <c r="AC73" i="20"/>
  <c r="AK69" i="50"/>
  <c r="AC71" i="20"/>
  <c r="AK67" i="50"/>
  <c r="AC69" i="20"/>
  <c r="AB76" i="20"/>
  <c r="AJ72" i="50"/>
  <c r="AB74" i="20"/>
  <c r="AJ70" i="50"/>
  <c r="AB72" i="20"/>
  <c r="AJ68" i="50"/>
  <c r="AB70" i="20"/>
  <c r="AJ66" i="50"/>
  <c r="AB68" i="20"/>
  <c r="AI72" i="50"/>
  <c r="AA74" i="20"/>
  <c r="U77" i="20"/>
  <c r="AL17" i="14"/>
  <c r="N95" i="20"/>
  <c r="N105" i="20"/>
  <c r="N89" i="20"/>
  <c r="N99" i="20"/>
  <c r="N110" i="20"/>
  <c r="N102" i="20"/>
  <c r="N94" i="20"/>
  <c r="N86" i="20"/>
  <c r="R99" i="20"/>
  <c r="R85" i="20"/>
  <c r="R106" i="20"/>
  <c r="R98" i="20"/>
  <c r="R90" i="20"/>
  <c r="AA77" i="20"/>
  <c r="AH71" i="50"/>
  <c r="Z73" i="20"/>
  <c r="AF26" i="50"/>
  <c r="H68" i="20"/>
  <c r="AG30" i="50"/>
  <c r="C72" i="20"/>
  <c r="C76" i="20"/>
  <c r="Z78" i="20"/>
  <c r="AK70" i="50"/>
  <c r="AC72" i="20"/>
  <c r="AB77" i="20"/>
  <c r="AJ69" i="50"/>
  <c r="AB71" i="20"/>
  <c r="T84" i="20"/>
  <c r="T86" i="20"/>
  <c r="T88" i="20"/>
  <c r="AE88" i="20" s="1"/>
  <c r="T90" i="20"/>
  <c r="AE90" i="20" s="1"/>
  <c r="T92" i="20"/>
  <c r="AE92" i="20" s="1"/>
  <c r="T94" i="20"/>
  <c r="AE94" i="20" s="1"/>
  <c r="T96" i="20"/>
  <c r="AE96" i="20" s="1"/>
  <c r="T98" i="20"/>
  <c r="AE98" i="20" s="1"/>
  <c r="T100" i="20"/>
  <c r="AE100" i="20" s="1"/>
  <c r="T102" i="20"/>
  <c r="AE102" i="20" s="1"/>
  <c r="T104" i="20"/>
  <c r="AE104" i="20" s="1"/>
  <c r="T106" i="20"/>
  <c r="AE106" i="20" s="1"/>
  <c r="T108" i="20"/>
  <c r="AE108" i="20" s="1"/>
  <c r="T110" i="20"/>
  <c r="AE110" i="20" s="1"/>
  <c r="T112" i="20"/>
  <c r="AE112" i="20" s="1"/>
  <c r="T85" i="20"/>
  <c r="AE85" i="20" s="1"/>
  <c r="T89" i="20"/>
  <c r="AE89" i="20" s="1"/>
  <c r="T93" i="20"/>
  <c r="T97" i="20"/>
  <c r="T101" i="20"/>
  <c r="AE101" i="20" s="1"/>
  <c r="T105" i="20"/>
  <c r="AE105" i="20" s="1"/>
  <c r="T109" i="20"/>
  <c r="AE109" i="20" s="1"/>
  <c r="T87" i="20"/>
  <c r="T95" i="20"/>
  <c r="AE95" i="20" s="1"/>
  <c r="T103" i="20"/>
  <c r="T111" i="20"/>
  <c r="AE111" i="20" s="1"/>
  <c r="T91" i="20"/>
  <c r="AE91" i="20" s="1"/>
  <c r="T99" i="20"/>
  <c r="T107" i="20"/>
  <c r="AE107" i="20" s="1"/>
  <c r="Q85" i="20"/>
  <c r="Q87" i="20"/>
  <c r="Q89" i="20"/>
  <c r="Q91" i="20"/>
  <c r="Q93" i="20"/>
  <c r="AB93" i="20" s="1"/>
  <c r="Q95" i="20"/>
  <c r="Q97" i="20"/>
  <c r="Q99" i="20"/>
  <c r="Q101" i="20"/>
  <c r="Q103" i="20"/>
  <c r="Q105" i="20"/>
  <c r="AB105" i="20" s="1"/>
  <c r="Q107" i="20"/>
  <c r="Q109" i="20"/>
  <c r="Q111" i="20"/>
  <c r="Q84" i="20"/>
  <c r="Q88" i="20"/>
  <c r="Q92" i="20"/>
  <c r="Q96" i="20"/>
  <c r="Q100" i="20"/>
  <c r="Q104" i="20"/>
  <c r="Q108" i="20"/>
  <c r="Q112" i="20"/>
  <c r="Q90" i="20"/>
  <c r="Q98" i="20"/>
  <c r="Q106" i="20"/>
  <c r="AB106" i="20" s="1"/>
  <c r="Q86" i="20"/>
  <c r="AB86" i="20" s="1"/>
  <c r="Q94" i="20"/>
  <c r="AB94" i="20" s="1"/>
  <c r="Q102" i="20"/>
  <c r="Q110" i="20"/>
  <c r="AB110" i="20" s="1"/>
  <c r="AL66" i="50"/>
  <c r="AE68" i="20"/>
  <c r="AI30" i="50"/>
  <c r="E72" i="20"/>
  <c r="AH69" i="50"/>
  <c r="Z71" i="20"/>
  <c r="AL70" i="50"/>
  <c r="AE72" i="20"/>
  <c r="AH72" i="50"/>
  <c r="Z74" i="20"/>
  <c r="AK32" i="50"/>
  <c r="G74" i="20"/>
  <c r="AG70" i="50"/>
  <c r="Y72" i="20"/>
  <c r="AF69" i="50"/>
  <c r="AD71" i="20"/>
  <c r="AC75" i="20"/>
  <c r="Z76" i="20"/>
  <c r="AI68" i="50"/>
  <c r="AA70" i="20"/>
  <c r="AI27" i="50"/>
  <c r="E69" i="20"/>
  <c r="AI29" i="50"/>
  <c r="E71" i="20"/>
  <c r="AI31" i="50"/>
  <c r="E73" i="20"/>
  <c r="E75" i="20"/>
  <c r="AJ26" i="50"/>
  <c r="F68" i="20"/>
  <c r="AI67" i="50"/>
  <c r="AA69" i="20"/>
  <c r="AE76" i="20"/>
  <c r="Z75" i="20"/>
  <c r="AK27" i="50"/>
  <c r="G69" i="20"/>
  <c r="AK29" i="50"/>
  <c r="G71" i="20"/>
  <c r="AK31" i="50"/>
  <c r="G73" i="20"/>
  <c r="G75" i="20"/>
  <c r="AL26" i="50"/>
  <c r="I68" i="20"/>
  <c r="AH27" i="50"/>
  <c r="D69" i="20"/>
  <c r="AH31" i="50"/>
  <c r="D73" i="20"/>
  <c r="D76" i="20"/>
  <c r="AE78" i="20"/>
  <c r="Z77" i="20"/>
  <c r="Y76" i="20"/>
  <c r="AG71" i="50"/>
  <c r="Y73" i="20"/>
  <c r="AG69" i="50"/>
  <c r="Y71" i="20"/>
  <c r="AG67" i="50"/>
  <c r="Y69" i="20"/>
  <c r="AB78" i="20"/>
  <c r="AD76" i="20"/>
  <c r="AF72" i="50"/>
  <c r="AD74" i="20"/>
  <c r="AF70" i="50"/>
  <c r="AD72" i="20"/>
  <c r="AF68" i="50"/>
  <c r="AD70" i="20"/>
  <c r="AF66" i="50"/>
  <c r="AD68" i="20"/>
  <c r="AG26" i="50"/>
  <c r="C68" i="20"/>
  <c r="AM5" i="14"/>
  <c r="AB5" i="14"/>
  <c r="AM11" i="14"/>
  <c r="AB11" i="14"/>
  <c r="U73" i="20"/>
  <c r="AM7" i="14"/>
  <c r="AB7" i="14"/>
  <c r="AM10" i="14"/>
  <c r="AB10" i="14"/>
  <c r="AB13" i="14"/>
  <c r="AM13" i="14"/>
  <c r="U74" i="20"/>
  <c r="N87" i="20"/>
  <c r="N101" i="20"/>
  <c r="N85" i="20"/>
  <c r="N91" i="20"/>
  <c r="N108" i="20"/>
  <c r="N100" i="20"/>
  <c r="N92" i="20"/>
  <c r="R105" i="20"/>
  <c r="R111" i="20"/>
  <c r="R95" i="20"/>
  <c r="R109" i="20"/>
  <c r="R112" i="20"/>
  <c r="R104" i="20"/>
  <c r="R96" i="20"/>
  <c r="R88" i="20"/>
  <c r="AG19" i="22"/>
  <c r="AG16" i="22"/>
  <c r="AQ126" i="20"/>
  <c r="AG15" i="22"/>
  <c r="AH18" i="22"/>
  <c r="AH9" i="22"/>
  <c r="AG17" i="22"/>
  <c r="AH17" i="22"/>
  <c r="AH16" i="22"/>
  <c r="AH19" i="22"/>
  <c r="AG18" i="22"/>
  <c r="N20" i="10" l="1"/>
  <c r="AB97" i="20"/>
  <c r="AB90" i="20"/>
  <c r="AB101" i="20"/>
  <c r="AB112" i="20"/>
  <c r="AB111" i="20"/>
  <c r="AB102" i="20"/>
  <c r="AB92" i="20"/>
  <c r="AB99" i="20"/>
  <c r="AB109" i="20"/>
  <c r="AB96" i="20"/>
  <c r="AB85" i="20"/>
  <c r="AB91" i="20"/>
  <c r="AB98" i="20"/>
  <c r="AB95" i="20"/>
  <c r="AB107" i="20"/>
  <c r="AB89" i="20"/>
  <c r="AB88" i="20"/>
  <c r="AB103" i="20"/>
  <c r="AB87" i="20"/>
  <c r="AB84" i="20"/>
  <c r="AF69" i="20"/>
  <c r="J68" i="20"/>
  <c r="AF71" i="20"/>
  <c r="AF72" i="20"/>
  <c r="S103" i="20"/>
  <c r="AD103" i="20" s="1"/>
  <c r="S86" i="20"/>
  <c r="AD86" i="20" s="1"/>
  <c r="S110" i="20"/>
  <c r="AD110" i="20" s="1"/>
  <c r="AF76" i="20"/>
  <c r="S100" i="20"/>
  <c r="AD100" i="20" s="1"/>
  <c r="S99" i="20"/>
  <c r="AD99" i="20" s="1"/>
  <c r="S112" i="20"/>
  <c r="AD112" i="20" s="1"/>
  <c r="S94" i="20"/>
  <c r="AD94" i="20" s="1"/>
  <c r="AF73" i="20"/>
  <c r="D87" i="20"/>
  <c r="D91" i="20"/>
  <c r="D95" i="20"/>
  <c r="Z95" i="20" s="1"/>
  <c r="D99" i="20"/>
  <c r="Z99" i="20" s="1"/>
  <c r="D103" i="20"/>
  <c r="Z103" i="20" s="1"/>
  <c r="D107" i="20"/>
  <c r="Z107" i="20" s="1"/>
  <c r="D111" i="20"/>
  <c r="Z111" i="20" s="1"/>
  <c r="D84" i="20"/>
  <c r="D88" i="20"/>
  <c r="D92" i="20"/>
  <c r="D96" i="20"/>
  <c r="Z96" i="20" s="1"/>
  <c r="D100" i="20"/>
  <c r="Z100" i="20" s="1"/>
  <c r="D104" i="20"/>
  <c r="Z104" i="20" s="1"/>
  <c r="D108" i="20"/>
  <c r="Z108" i="20" s="1"/>
  <c r="D112" i="20"/>
  <c r="Z112" i="20" s="1"/>
  <c r="D86" i="20"/>
  <c r="D94" i="20"/>
  <c r="Z94" i="20" s="1"/>
  <c r="D102" i="20"/>
  <c r="Z102" i="20" s="1"/>
  <c r="D110" i="20"/>
  <c r="Z110" i="20" s="1"/>
  <c r="D89" i="20"/>
  <c r="D97" i="20"/>
  <c r="Z97" i="20" s="1"/>
  <c r="D105" i="20"/>
  <c r="Z105" i="20" s="1"/>
  <c r="D85" i="20"/>
  <c r="D101" i="20"/>
  <c r="Z101" i="20" s="1"/>
  <c r="D93" i="20"/>
  <c r="Z93" i="20" s="1"/>
  <c r="D98" i="20"/>
  <c r="Z98" i="20" s="1"/>
  <c r="D90" i="20"/>
  <c r="D106" i="20"/>
  <c r="Z106" i="20" s="1"/>
  <c r="D109" i="20"/>
  <c r="Z109" i="20" s="1"/>
  <c r="E87" i="20"/>
  <c r="AA87" i="20" s="1"/>
  <c r="E91" i="20"/>
  <c r="AA91" i="20" s="1"/>
  <c r="E95" i="20"/>
  <c r="AA95" i="20" s="1"/>
  <c r="E99" i="20"/>
  <c r="AA99" i="20" s="1"/>
  <c r="E103" i="20"/>
  <c r="AA103" i="20" s="1"/>
  <c r="E107" i="20"/>
  <c r="AA107" i="20" s="1"/>
  <c r="E111" i="20"/>
  <c r="AA111" i="20" s="1"/>
  <c r="E84" i="20"/>
  <c r="AA84" i="20" s="1"/>
  <c r="E88" i="20"/>
  <c r="AA88" i="20" s="1"/>
  <c r="E92" i="20"/>
  <c r="AA92" i="20" s="1"/>
  <c r="E96" i="20"/>
  <c r="AA96" i="20" s="1"/>
  <c r="E100" i="20"/>
  <c r="AA100" i="20" s="1"/>
  <c r="E104" i="20"/>
  <c r="AA104" i="20" s="1"/>
  <c r="E108" i="20"/>
  <c r="AA108" i="20" s="1"/>
  <c r="E112" i="20"/>
  <c r="AA112" i="20" s="1"/>
  <c r="E86" i="20"/>
  <c r="AA86" i="20" s="1"/>
  <c r="E94" i="20"/>
  <c r="AA94" i="20" s="1"/>
  <c r="E102" i="20"/>
  <c r="AA102" i="20" s="1"/>
  <c r="E110" i="20"/>
  <c r="AA110" i="20" s="1"/>
  <c r="E89" i="20"/>
  <c r="AA89" i="20" s="1"/>
  <c r="E97" i="20"/>
  <c r="AA97" i="20" s="1"/>
  <c r="E105" i="20"/>
  <c r="AA105" i="20" s="1"/>
  <c r="E93" i="20"/>
  <c r="AA93" i="20" s="1"/>
  <c r="E109" i="20"/>
  <c r="AA109" i="20" s="1"/>
  <c r="E101" i="20"/>
  <c r="AA101" i="20" s="1"/>
  <c r="E106" i="20"/>
  <c r="AA106" i="20" s="1"/>
  <c r="E98" i="20"/>
  <c r="AA98" i="20" s="1"/>
  <c r="E85" i="20"/>
  <c r="AA85" i="20" s="1"/>
  <c r="E90" i="20"/>
  <c r="AA90" i="20" s="1"/>
  <c r="S108" i="20"/>
  <c r="AD108" i="20" s="1"/>
  <c r="S92" i="20"/>
  <c r="AD92" i="20" s="1"/>
  <c r="S87" i="20"/>
  <c r="AD87" i="20" s="1"/>
  <c r="S97" i="20"/>
  <c r="AD97" i="20" s="1"/>
  <c r="Z19" i="14"/>
  <c r="AL18" i="14"/>
  <c r="J70" i="20"/>
  <c r="S98" i="20"/>
  <c r="AD98" i="20" s="1"/>
  <c r="D16" i="10"/>
  <c r="AN12" i="14"/>
  <c r="D10" i="10"/>
  <c r="AN6" i="14"/>
  <c r="D12" i="10"/>
  <c r="AN8" i="14"/>
  <c r="D7" i="10"/>
  <c r="S102" i="20"/>
  <c r="AD102" i="20" s="1"/>
  <c r="AE87" i="20"/>
  <c r="S104" i="20"/>
  <c r="AD104" i="20" s="1"/>
  <c r="S88" i="20"/>
  <c r="AD88" i="20" s="1"/>
  <c r="S107" i="20"/>
  <c r="AD107" i="20" s="1"/>
  <c r="S111" i="20"/>
  <c r="AD111" i="20" s="1"/>
  <c r="S109" i="20"/>
  <c r="AD109" i="20" s="1"/>
  <c r="S93" i="20"/>
  <c r="AD93" i="20" s="1"/>
  <c r="J76" i="20"/>
  <c r="AE103" i="20"/>
  <c r="AB108" i="20"/>
  <c r="J73" i="20"/>
  <c r="J69" i="20"/>
  <c r="AF78" i="20"/>
  <c r="S106" i="20"/>
  <c r="AD106" i="20" s="1"/>
  <c r="AF70" i="20"/>
  <c r="J74" i="20"/>
  <c r="D9" i="10"/>
  <c r="AN5" i="14"/>
  <c r="S89" i="20"/>
  <c r="AD89" i="20" s="1"/>
  <c r="AE99" i="20"/>
  <c r="AF75" i="20"/>
  <c r="D13" i="10"/>
  <c r="AN9" i="14"/>
  <c r="AE86" i="20"/>
  <c r="D8" i="10"/>
  <c r="AN4" i="14"/>
  <c r="AB100" i="20"/>
  <c r="D11" i="10"/>
  <c r="AN7" i="14"/>
  <c r="D15" i="10"/>
  <c r="AN11" i="14"/>
  <c r="D14" i="10"/>
  <c r="AN10" i="14"/>
  <c r="G87" i="20"/>
  <c r="AC87" i="20" s="1"/>
  <c r="G91" i="20"/>
  <c r="AC91" i="20" s="1"/>
  <c r="G95" i="20"/>
  <c r="AC95" i="20" s="1"/>
  <c r="G99" i="20"/>
  <c r="AC99" i="20" s="1"/>
  <c r="G103" i="20"/>
  <c r="AC103" i="20" s="1"/>
  <c r="G107" i="20"/>
  <c r="AC107" i="20" s="1"/>
  <c r="G111" i="20"/>
  <c r="AC111" i="20" s="1"/>
  <c r="G84" i="20"/>
  <c r="AC84" i="20" s="1"/>
  <c r="G88" i="20"/>
  <c r="AC88" i="20" s="1"/>
  <c r="G92" i="20"/>
  <c r="AC92" i="20" s="1"/>
  <c r="G96" i="20"/>
  <c r="AC96" i="20" s="1"/>
  <c r="G100" i="20"/>
  <c r="AC100" i="20" s="1"/>
  <c r="G104" i="20"/>
  <c r="AC104" i="20" s="1"/>
  <c r="G108" i="20"/>
  <c r="AC108" i="20" s="1"/>
  <c r="G112" i="20"/>
  <c r="AC112" i="20" s="1"/>
  <c r="G90" i="20"/>
  <c r="AC90" i="20" s="1"/>
  <c r="G98" i="20"/>
  <c r="AC98" i="20" s="1"/>
  <c r="G106" i="20"/>
  <c r="AC106" i="20" s="1"/>
  <c r="G85" i="20"/>
  <c r="AC85" i="20" s="1"/>
  <c r="G93" i="20"/>
  <c r="AC93" i="20" s="1"/>
  <c r="G101" i="20"/>
  <c r="AC101" i="20" s="1"/>
  <c r="G109" i="20"/>
  <c r="AC109" i="20" s="1"/>
  <c r="G97" i="20"/>
  <c r="AC97" i="20" s="1"/>
  <c r="G105" i="20"/>
  <c r="AC105" i="20" s="1"/>
  <c r="G94" i="20"/>
  <c r="AC94" i="20" s="1"/>
  <c r="G110" i="20"/>
  <c r="AC110" i="20" s="1"/>
  <c r="G86" i="20"/>
  <c r="AC86" i="20" s="1"/>
  <c r="G102" i="20"/>
  <c r="AC102" i="20" s="1"/>
  <c r="G89" i="20"/>
  <c r="AC89" i="20" s="1"/>
  <c r="S105" i="20"/>
  <c r="AD105" i="20" s="1"/>
  <c r="D17" i="10"/>
  <c r="AN13" i="14"/>
  <c r="AA36" i="14"/>
  <c r="AM36" i="14" s="1"/>
  <c r="D40" i="10" s="1"/>
  <c r="W40" i="10" s="1"/>
  <c r="U40" i="10" s="1"/>
  <c r="S96" i="20"/>
  <c r="AD96" i="20" s="1"/>
  <c r="S91" i="20"/>
  <c r="AD91" i="20" s="1"/>
  <c r="S95" i="20"/>
  <c r="AD95" i="20" s="1"/>
  <c r="S101" i="20"/>
  <c r="AD101" i="20" s="1"/>
  <c r="S85" i="20"/>
  <c r="AD85" i="20" s="1"/>
  <c r="S84" i="20"/>
  <c r="AD84" i="20" s="1"/>
  <c r="J72" i="20"/>
  <c r="AE93" i="20"/>
  <c r="C21" i="10"/>
  <c r="J75" i="20"/>
  <c r="J71" i="20"/>
  <c r="AF77" i="20"/>
  <c r="AF74" i="20"/>
  <c r="AE97" i="20"/>
  <c r="AB104" i="20"/>
  <c r="S90" i="20"/>
  <c r="AD90" i="20" s="1"/>
  <c r="AE84" i="20"/>
  <c r="AM14" i="14"/>
  <c r="AA38" i="14"/>
  <c r="AM38" i="14" s="1"/>
  <c r="D42" i="10" s="1"/>
  <c r="W42" i="10" s="1"/>
  <c r="U42" i="10" s="1"/>
  <c r="AA37" i="14"/>
  <c r="AM37" i="14" s="1"/>
  <c r="D41" i="10" s="1"/>
  <c r="W41" i="10" s="1"/>
  <c r="U41" i="10" s="1"/>
  <c r="AA20" i="14"/>
  <c r="AM20" i="14" s="1"/>
  <c r="D24" i="10" s="1"/>
  <c r="W24" i="10" s="1"/>
  <c r="U24" i="10" s="1"/>
  <c r="AA32" i="14"/>
  <c r="AM32" i="14" s="1"/>
  <c r="D36" i="10" s="1"/>
  <c r="W36" i="10" s="1"/>
  <c r="U36" i="10" s="1"/>
  <c r="AA22" i="14"/>
  <c r="AM22" i="14" s="1"/>
  <c r="D26" i="10" s="1"/>
  <c r="W26" i="10" s="1"/>
  <c r="U26" i="10" s="1"/>
  <c r="AA35" i="14"/>
  <c r="AM35" i="14" s="1"/>
  <c r="D39" i="10" s="1"/>
  <c r="W39" i="10" s="1"/>
  <c r="U39" i="10" s="1"/>
  <c r="AA19" i="14"/>
  <c r="AM19" i="14" s="1"/>
  <c r="D23" i="10" s="1"/>
  <c r="W23" i="10" s="1"/>
  <c r="U23" i="10" s="1"/>
  <c r="AA21" i="14"/>
  <c r="AM21" i="14" s="1"/>
  <c r="D25" i="10" s="1"/>
  <c r="W25" i="10" s="1"/>
  <c r="AA25" i="14"/>
  <c r="AM25" i="14" s="1"/>
  <c r="D29" i="10" s="1"/>
  <c r="W29" i="10" s="1"/>
  <c r="U29" i="10" s="1"/>
  <c r="AA23" i="14"/>
  <c r="AM23" i="14" s="1"/>
  <c r="D27" i="10" s="1"/>
  <c r="W27" i="10" s="1"/>
  <c r="U27" i="10" s="1"/>
  <c r="AM17" i="14"/>
  <c r="D21" i="10" s="1"/>
  <c r="W21" i="10" s="1"/>
  <c r="U21" i="10" s="1"/>
  <c r="AA29" i="14"/>
  <c r="AM29" i="14" s="1"/>
  <c r="D33" i="10" s="1"/>
  <c r="W33" i="10" s="1"/>
  <c r="U33" i="10" s="1"/>
  <c r="AA27" i="14"/>
  <c r="AM27" i="14" s="1"/>
  <c r="D31" i="10" s="1"/>
  <c r="W31" i="10" s="1"/>
  <c r="U31" i="10" s="1"/>
  <c r="AA34" i="14"/>
  <c r="AM34" i="14" s="1"/>
  <c r="D38" i="10" s="1"/>
  <c r="W38" i="10" s="1"/>
  <c r="U38" i="10" s="1"/>
  <c r="AA24" i="14"/>
  <c r="AM24" i="14" s="1"/>
  <c r="D28" i="10" s="1"/>
  <c r="W28" i="10" s="1"/>
  <c r="U28" i="10" s="1"/>
  <c r="AA26" i="14"/>
  <c r="AM26" i="14" s="1"/>
  <c r="D30" i="10" s="1"/>
  <c r="W30" i="10" s="1"/>
  <c r="U30" i="10" s="1"/>
  <c r="AA40" i="14"/>
  <c r="AM40" i="14" s="1"/>
  <c r="D44" i="10" s="1"/>
  <c r="W44" i="10" s="1"/>
  <c r="U44" i="10" s="1"/>
  <c r="AA33" i="14"/>
  <c r="AM33" i="14" s="1"/>
  <c r="D37" i="10" s="1"/>
  <c r="W37" i="10" s="1"/>
  <c r="U37" i="10" s="1"/>
  <c r="AA42" i="14"/>
  <c r="AM42" i="14" s="1"/>
  <c r="D46" i="10" s="1"/>
  <c r="W46" i="10" s="1"/>
  <c r="U46" i="10" s="1"/>
  <c r="AA28" i="14"/>
  <c r="AM28" i="14" s="1"/>
  <c r="D32" i="10" s="1"/>
  <c r="W32" i="10" s="1"/>
  <c r="U32" i="10" s="1"/>
  <c r="AM18" i="14"/>
  <c r="D22" i="10" s="1"/>
  <c r="W22" i="10" s="1"/>
  <c r="U22" i="10" s="1"/>
  <c r="AA41" i="14"/>
  <c r="AM41" i="14" s="1"/>
  <c r="D45" i="10" s="1"/>
  <c r="W45" i="10" s="1"/>
  <c r="U45" i="10" s="1"/>
  <c r="AA39" i="14"/>
  <c r="AM39" i="14" s="1"/>
  <c r="D43" i="10" s="1"/>
  <c r="W43" i="10" s="1"/>
  <c r="U43" i="10" s="1"/>
  <c r="AA45" i="14"/>
  <c r="AM45" i="14" s="1"/>
  <c r="D49" i="10" s="1"/>
  <c r="W49" i="10" s="1"/>
  <c r="U49" i="10" s="1"/>
  <c r="AA43" i="14"/>
  <c r="AM43" i="14" s="1"/>
  <c r="D47" i="10" s="1"/>
  <c r="W47" i="10" s="1"/>
  <c r="U47" i="10" s="1"/>
  <c r="AM15" i="14"/>
  <c r="AA44" i="14"/>
  <c r="AM44" i="14" s="1"/>
  <c r="D48" i="10" s="1"/>
  <c r="W48" i="10" s="1"/>
  <c r="U48" i="10" s="1"/>
  <c r="AA30" i="14"/>
  <c r="AM30" i="14" s="1"/>
  <c r="D34" i="10" s="1"/>
  <c r="W34" i="10" s="1"/>
  <c r="U34" i="10" s="1"/>
  <c r="AA31" i="14"/>
  <c r="AM31" i="14" s="1"/>
  <c r="D35" i="10" s="1"/>
  <c r="W35" i="10" s="1"/>
  <c r="U35" i="10" s="1"/>
  <c r="AM16" i="14"/>
  <c r="AA46" i="14"/>
  <c r="AM46" i="14" s="1"/>
  <c r="D50" i="10" s="1"/>
  <c r="W50" i="10" s="1"/>
  <c r="U50" i="10" s="1"/>
  <c r="AA47" i="14"/>
  <c r="AM47" i="14" s="1"/>
  <c r="D51" i="10" s="1"/>
  <c r="W51" i="10" s="1"/>
  <c r="U51" i="10" s="1"/>
  <c r="AF68" i="20"/>
  <c r="AT10" i="22"/>
  <c r="AT11" i="22"/>
  <c r="AT12" i="22"/>
  <c r="AT13" i="22"/>
  <c r="AT14" i="22"/>
  <c r="P10" i="22"/>
  <c r="Q10" i="22"/>
  <c r="P11" i="22"/>
  <c r="Q11" i="22"/>
  <c r="P12" i="22"/>
  <c r="Q12" i="22"/>
  <c r="P13" i="22"/>
  <c r="Q13" i="22"/>
  <c r="P14" i="22"/>
  <c r="Q14" i="22"/>
  <c r="AO5" i="22"/>
  <c r="AO4" i="22"/>
  <c r="AE5" i="22"/>
  <c r="AE4" i="22"/>
  <c r="Y5" i="22"/>
  <c r="X5" i="22"/>
  <c r="W5" i="22"/>
  <c r="V5" i="22"/>
  <c r="U5" i="22"/>
  <c r="Y4" i="22"/>
  <c r="X4" i="22"/>
  <c r="W4" i="22"/>
  <c r="V4" i="22"/>
  <c r="U4" i="22"/>
  <c r="K5" i="22"/>
  <c r="K4" i="22"/>
  <c r="A5" i="22"/>
  <c r="A4" i="22"/>
  <c r="A5" i="23"/>
  <c r="A4" i="23"/>
  <c r="Y5" i="23"/>
  <c r="X5" i="23"/>
  <c r="W5" i="23"/>
  <c r="V5" i="23"/>
  <c r="U5" i="23"/>
  <c r="Y4" i="23"/>
  <c r="X4" i="23"/>
  <c r="W4" i="23"/>
  <c r="V4" i="23"/>
  <c r="U4" i="23"/>
  <c r="AE5" i="23"/>
  <c r="AE4" i="23"/>
  <c r="AO5" i="23"/>
  <c r="AO4" i="23"/>
  <c r="AR5" i="23"/>
  <c r="AQ4" i="23"/>
  <c r="AR4" i="23"/>
  <c r="AQ5" i="23"/>
  <c r="AP5" i="23"/>
  <c r="AP4" i="23"/>
  <c r="AH5" i="23"/>
  <c r="AH4" i="23"/>
  <c r="AG5" i="23"/>
  <c r="AG4" i="23"/>
  <c r="AR5" i="22"/>
  <c r="AR4" i="22"/>
  <c r="AQ5" i="22"/>
  <c r="AQ4" i="22"/>
  <c r="AP16" i="22"/>
  <c r="AP17" i="22"/>
  <c r="AP18" i="22"/>
  <c r="AP19" i="22"/>
  <c r="AP15" i="22"/>
  <c r="AP5" i="22" s="1"/>
  <c r="AP9" i="22"/>
  <c r="AP4" i="22" s="1"/>
  <c r="AF5" i="22"/>
  <c r="AF4" i="22"/>
  <c r="AH5" i="22"/>
  <c r="AH4" i="22"/>
  <c r="AG5" i="22"/>
  <c r="AG4" i="22"/>
  <c r="U25" i="10" l="1"/>
  <c r="N21" i="10"/>
  <c r="U93" i="20"/>
  <c r="U86" i="20"/>
  <c r="C93" i="20"/>
  <c r="Y93" i="20" s="1"/>
  <c r="L30" i="53" s="1"/>
  <c r="U87" i="20"/>
  <c r="U91" i="20"/>
  <c r="U88" i="20"/>
  <c r="AF46" i="53"/>
  <c r="AP46" i="53"/>
  <c r="B46" i="53"/>
  <c r="AP26" i="53"/>
  <c r="B26" i="53"/>
  <c r="B22" i="53"/>
  <c r="AP22" i="53"/>
  <c r="U13" i="10"/>
  <c r="Q13" i="10"/>
  <c r="S13" i="10"/>
  <c r="U9" i="10"/>
  <c r="Q9" i="10"/>
  <c r="S9" i="10"/>
  <c r="Z90" i="20"/>
  <c r="AF27" i="53" s="1"/>
  <c r="C90" i="20"/>
  <c r="Z85" i="20"/>
  <c r="AF22" i="53" s="1"/>
  <c r="C85" i="20"/>
  <c r="Z88" i="20"/>
  <c r="AF25" i="53" s="1"/>
  <c r="C88" i="20"/>
  <c r="Z91" i="20"/>
  <c r="AF28" i="53" s="1"/>
  <c r="C91" i="20"/>
  <c r="D20" i="10"/>
  <c r="W20" i="10" s="1"/>
  <c r="U20" i="10" s="1"/>
  <c r="AN16" i="14"/>
  <c r="D19" i="10"/>
  <c r="W19" i="10" s="1"/>
  <c r="U19" i="10" s="1"/>
  <c r="AN15" i="14"/>
  <c r="AP43" i="53"/>
  <c r="B43" i="53"/>
  <c r="AF43" i="53"/>
  <c r="AF35" i="53"/>
  <c r="AP35" i="53"/>
  <c r="B35" i="53"/>
  <c r="AP36" i="53"/>
  <c r="AF36" i="53"/>
  <c r="B36" i="53"/>
  <c r="AP25" i="53"/>
  <c r="B25" i="53"/>
  <c r="AP37" i="53"/>
  <c r="B37" i="53"/>
  <c r="AF37" i="53"/>
  <c r="AF39" i="53"/>
  <c r="B39" i="53"/>
  <c r="AP39" i="53"/>
  <c r="AN17" i="14"/>
  <c r="B38" i="53"/>
  <c r="AF38" i="53"/>
  <c r="AP38" i="53"/>
  <c r="S14" i="10"/>
  <c r="U14" i="10"/>
  <c r="Q14" i="10"/>
  <c r="Q11" i="10"/>
  <c r="S11" i="10"/>
  <c r="U11" i="10"/>
  <c r="Q8" i="10"/>
  <c r="S8" i="10"/>
  <c r="U8" i="10"/>
  <c r="Q12" i="10"/>
  <c r="S12" i="10"/>
  <c r="U12" i="10"/>
  <c r="AN18" i="14"/>
  <c r="C22" i="10"/>
  <c r="AF19" i="53"/>
  <c r="Z86" i="20"/>
  <c r="AF23" i="53" s="1"/>
  <c r="C86" i="20"/>
  <c r="Z84" i="20"/>
  <c r="AF21" i="53" s="1"/>
  <c r="C84" i="20"/>
  <c r="Z87" i="20"/>
  <c r="AF24" i="53" s="1"/>
  <c r="C87" i="20"/>
  <c r="AP41" i="53"/>
  <c r="B41" i="53"/>
  <c r="AF41" i="53"/>
  <c r="AP19" i="53"/>
  <c r="B19" i="53"/>
  <c r="AP27" i="53"/>
  <c r="B27" i="53"/>
  <c r="AP24" i="53"/>
  <c r="B24" i="53"/>
  <c r="AP40" i="53"/>
  <c r="AF40" i="53"/>
  <c r="B40" i="53"/>
  <c r="U85" i="20"/>
  <c r="Q16" i="10"/>
  <c r="S16" i="10"/>
  <c r="U16" i="10"/>
  <c r="Z20" i="14"/>
  <c r="Y19" i="14"/>
  <c r="AL19" i="14" s="1"/>
  <c r="AF20" i="53"/>
  <c r="U92" i="20"/>
  <c r="AP48" i="53"/>
  <c r="AF48" i="53"/>
  <c r="B48" i="53"/>
  <c r="AP44" i="53"/>
  <c r="AF44" i="53"/>
  <c r="B44" i="53"/>
  <c r="AP21" i="53"/>
  <c r="B21" i="53"/>
  <c r="S10" i="10"/>
  <c r="U10" i="10"/>
  <c r="Q10" i="10"/>
  <c r="Z89" i="20"/>
  <c r="AF26" i="53" s="1"/>
  <c r="C89" i="20"/>
  <c r="AP33" i="53"/>
  <c r="AF33" i="53"/>
  <c r="B33" i="53"/>
  <c r="AP45" i="53"/>
  <c r="AF45" i="53"/>
  <c r="B45" i="53"/>
  <c r="AP20" i="53"/>
  <c r="B20" i="53"/>
  <c r="AP42" i="53"/>
  <c r="B42" i="53"/>
  <c r="AF42" i="53"/>
  <c r="AP29" i="53"/>
  <c r="B29" i="53"/>
  <c r="AF49" i="53"/>
  <c r="B49" i="53"/>
  <c r="AP49" i="53"/>
  <c r="AP32" i="53"/>
  <c r="AF32" i="53"/>
  <c r="B32" i="53"/>
  <c r="B47" i="53"/>
  <c r="AF47" i="53"/>
  <c r="AP47" i="53"/>
  <c r="AF30" i="53"/>
  <c r="AP30" i="53"/>
  <c r="B30" i="53"/>
  <c r="AP28" i="53"/>
  <c r="B28" i="53"/>
  <c r="B31" i="53"/>
  <c r="AF31" i="53"/>
  <c r="AP31" i="53"/>
  <c r="B23" i="53"/>
  <c r="AP23" i="53"/>
  <c r="AP34" i="53"/>
  <c r="AF34" i="53"/>
  <c r="B34" i="53"/>
  <c r="D18" i="10"/>
  <c r="W18" i="10" s="1"/>
  <c r="AN14" i="14"/>
  <c r="U17" i="10"/>
  <c r="Q17" i="10"/>
  <c r="S17" i="10"/>
  <c r="Q15" i="10"/>
  <c r="S15" i="10"/>
  <c r="U15" i="10"/>
  <c r="U89" i="20"/>
  <c r="S7" i="10"/>
  <c r="U7" i="10"/>
  <c r="Q7" i="10"/>
  <c r="Z92" i="20"/>
  <c r="AF29" i="53" s="1"/>
  <c r="C92" i="20"/>
  <c r="U84" i="20"/>
  <c r="U90" i="20"/>
  <c r="C94" i="20"/>
  <c r="Y94" i="20" s="1"/>
  <c r="L31" i="53" s="1"/>
  <c r="U94" i="20"/>
  <c r="AG11" i="22"/>
  <c r="AF11" i="22"/>
  <c r="AF10" i="22"/>
  <c r="AF12" i="22"/>
  <c r="AH10" i="22"/>
  <c r="AH12" i="22"/>
  <c r="AH11" i="22"/>
  <c r="AR11" i="22"/>
  <c r="AF14" i="22"/>
  <c r="AH13" i="22"/>
  <c r="AG12" i="22"/>
  <c r="AP10" i="22"/>
  <c r="AR12" i="22"/>
  <c r="AQ11" i="22"/>
  <c r="AG14" i="22"/>
  <c r="AG10" i="22"/>
  <c r="AP13" i="22"/>
  <c r="AR14" i="22"/>
  <c r="AQ13" i="22"/>
  <c r="AR10" i="22"/>
  <c r="AP11" i="22"/>
  <c r="AP12" i="22"/>
  <c r="AQ14" i="22"/>
  <c r="AQ10" i="22"/>
  <c r="AF13" i="22"/>
  <c r="AH14" i="22"/>
  <c r="AG13" i="22"/>
  <c r="AP14" i="22"/>
  <c r="AR13" i="22"/>
  <c r="AQ12" i="22"/>
  <c r="S16" i="12"/>
  <c r="Z16" i="12"/>
  <c r="AA16" i="12"/>
  <c r="AH16" i="12"/>
  <c r="AP16" i="12"/>
  <c r="AQ16" i="12"/>
  <c r="AP15" i="12"/>
  <c r="AU15" i="12"/>
  <c r="Q12" i="12"/>
  <c r="Q16" i="12" s="1"/>
  <c r="R12" i="12"/>
  <c r="R16" i="12" s="1"/>
  <c r="S12" i="12"/>
  <c r="T12" i="12"/>
  <c r="T16" i="12" s="1"/>
  <c r="U12" i="12"/>
  <c r="U16" i="12" s="1"/>
  <c r="V12" i="12"/>
  <c r="V16" i="12" s="1"/>
  <c r="W12" i="12"/>
  <c r="W16" i="12" s="1"/>
  <c r="X12" i="12"/>
  <c r="X16" i="12" s="1"/>
  <c r="Y12" i="12"/>
  <c r="Y16" i="12" s="1"/>
  <c r="Z12" i="12"/>
  <c r="AA12" i="12"/>
  <c r="AB12" i="12"/>
  <c r="AB16" i="12" s="1"/>
  <c r="AC12" i="12"/>
  <c r="AC16" i="12" s="1"/>
  <c r="AD12" i="12"/>
  <c r="AD16" i="12" s="1"/>
  <c r="AE12" i="12"/>
  <c r="AE16" i="12" s="1"/>
  <c r="AF12" i="12"/>
  <c r="AF16" i="12" s="1"/>
  <c r="AG12" i="12"/>
  <c r="AG16" i="12" s="1"/>
  <c r="AH12" i="12"/>
  <c r="AI12" i="12"/>
  <c r="AI16" i="12" s="1"/>
  <c r="AJ12" i="12"/>
  <c r="AJ16" i="12" s="1"/>
  <c r="AK12" i="12"/>
  <c r="AK16" i="12" s="1"/>
  <c r="AL12" i="12"/>
  <c r="AL16" i="12" s="1"/>
  <c r="AM12" i="12"/>
  <c r="AM16" i="12" s="1"/>
  <c r="AN12" i="12"/>
  <c r="AN16" i="12" s="1"/>
  <c r="AO12" i="12"/>
  <c r="AO16" i="12" s="1"/>
  <c r="AP12" i="12"/>
  <c r="AQ12" i="12"/>
  <c r="AR12" i="12"/>
  <c r="AR16" i="12" s="1"/>
  <c r="AS12" i="12"/>
  <c r="AS16" i="12" s="1"/>
  <c r="AT12" i="12"/>
  <c r="AT16" i="12" s="1"/>
  <c r="AU12" i="12"/>
  <c r="AU16" i="12" s="1"/>
  <c r="AV12" i="12"/>
  <c r="AV16" i="12" s="1"/>
  <c r="P12" i="12"/>
  <c r="P16" i="12" s="1"/>
  <c r="AW12" i="12"/>
  <c r="U18" i="10" l="1"/>
  <c r="AF93" i="20"/>
  <c r="J93" i="20"/>
  <c r="N22" i="10"/>
  <c r="Y92" i="20"/>
  <c r="J92" i="20"/>
  <c r="AH8" i="53"/>
  <c r="AR8" i="53"/>
  <c r="C8" i="53"/>
  <c r="E8" i="53" s="1"/>
  <c r="D8" i="53"/>
  <c r="N8" i="53"/>
  <c r="AN19" i="14"/>
  <c r="C23" i="10"/>
  <c r="AH14" i="53"/>
  <c r="D14" i="53"/>
  <c r="N14" i="53"/>
  <c r="AR14" i="53"/>
  <c r="C14" i="53"/>
  <c r="E14" i="53" s="1"/>
  <c r="AG9" i="53"/>
  <c r="AI9" i="53" s="1"/>
  <c r="AQ9" i="53"/>
  <c r="AS9" i="53" s="1"/>
  <c r="M9" i="53"/>
  <c r="O9" i="53" s="1"/>
  <c r="Y90" i="20"/>
  <c r="J90" i="20"/>
  <c r="AP7" i="53"/>
  <c r="L7" i="53"/>
  <c r="AF7" i="53"/>
  <c r="B7" i="53"/>
  <c r="T33" i="20"/>
  <c r="AP8" i="53"/>
  <c r="B8" i="53"/>
  <c r="AF8" i="53"/>
  <c r="L8" i="53"/>
  <c r="Z21" i="14"/>
  <c r="Y20" i="14"/>
  <c r="AL20" i="14" s="1"/>
  <c r="Y84" i="20"/>
  <c r="J84" i="20"/>
  <c r="AF10" i="53"/>
  <c r="L10" i="53"/>
  <c r="B10" i="53"/>
  <c r="AP10" i="53"/>
  <c r="AH9" i="53"/>
  <c r="AR9" i="53"/>
  <c r="N9" i="53"/>
  <c r="C9" i="53"/>
  <c r="E9" i="53" s="1"/>
  <c r="D9" i="53"/>
  <c r="AG11" i="53"/>
  <c r="AI11" i="53" s="1"/>
  <c r="AQ11" i="53"/>
  <c r="AS11" i="53" s="1"/>
  <c r="M11" i="53"/>
  <c r="O11" i="53" s="1"/>
  <c r="AQ8" i="53"/>
  <c r="AS8" i="53" s="1"/>
  <c r="AG8" i="53"/>
  <c r="AI8" i="53" s="1"/>
  <c r="M8" i="53"/>
  <c r="O8" i="53" s="1"/>
  <c r="AP14" i="53"/>
  <c r="AF14" i="53"/>
  <c r="L14" i="53"/>
  <c r="B14" i="53"/>
  <c r="AG10" i="53"/>
  <c r="AI10" i="53" s="1"/>
  <c r="AQ10" i="53"/>
  <c r="AS10" i="53" s="1"/>
  <c r="M10" i="53"/>
  <c r="O10" i="53" s="1"/>
  <c r="AH6" i="53"/>
  <c r="AR6" i="53"/>
  <c r="D6" i="53"/>
  <c r="N6" i="53"/>
  <c r="C6" i="53"/>
  <c r="E6" i="53" s="1"/>
  <c r="AH12" i="53"/>
  <c r="AR12" i="53"/>
  <c r="C12" i="53"/>
  <c r="E12" i="53" s="1"/>
  <c r="D12" i="53"/>
  <c r="N12" i="53"/>
  <c r="Y91" i="20"/>
  <c r="J91" i="20"/>
  <c r="Y85" i="20"/>
  <c r="J85" i="20"/>
  <c r="AG7" i="53"/>
  <c r="AI7" i="53" s="1"/>
  <c r="M7" i="53"/>
  <c r="O7" i="53" s="1"/>
  <c r="AQ7" i="53"/>
  <c r="AS7" i="53" s="1"/>
  <c r="AR11" i="53"/>
  <c r="C11" i="53"/>
  <c r="E11" i="53" s="1"/>
  <c r="D11" i="53"/>
  <c r="AH11" i="53"/>
  <c r="N11" i="53"/>
  <c r="AQ5" i="53"/>
  <c r="AS5" i="53" s="1"/>
  <c r="M5" i="53"/>
  <c r="O5" i="53" s="1"/>
  <c r="AG5" i="53"/>
  <c r="AI5" i="53" s="1"/>
  <c r="AH13" i="53"/>
  <c r="AR13" i="53"/>
  <c r="N13" i="53"/>
  <c r="C13" i="53"/>
  <c r="E13" i="53" s="1"/>
  <c r="D13" i="53"/>
  <c r="Y89" i="20"/>
  <c r="J89" i="20"/>
  <c r="AF6" i="53"/>
  <c r="L6" i="53"/>
  <c r="AP6" i="53"/>
  <c r="B6" i="53"/>
  <c r="AQ12" i="53"/>
  <c r="AS12" i="53" s="1"/>
  <c r="AG12" i="53"/>
  <c r="AI12" i="53" s="1"/>
  <c r="M12" i="53"/>
  <c r="O12" i="53" s="1"/>
  <c r="Y88" i="20"/>
  <c r="J88" i="20"/>
  <c r="AG15" i="53"/>
  <c r="AI15" i="53" s="1"/>
  <c r="AQ15" i="53"/>
  <c r="AS15" i="53" s="1"/>
  <c r="M15" i="53"/>
  <c r="O15" i="53" s="1"/>
  <c r="O16" i="53" s="1"/>
  <c r="O17" i="53" s="1"/>
  <c r="O18" i="53" s="1"/>
  <c r="O19" i="53" s="1"/>
  <c r="O20" i="53" s="1"/>
  <c r="O21" i="53" s="1"/>
  <c r="O22" i="53" s="1"/>
  <c r="O23" i="53" s="1"/>
  <c r="O24" i="53" s="1"/>
  <c r="O25" i="53" s="1"/>
  <c r="O26" i="53" s="1"/>
  <c r="O27" i="53" s="1"/>
  <c r="O28" i="53" s="1"/>
  <c r="O29" i="53" s="1"/>
  <c r="O30" i="53" s="1"/>
  <c r="O31" i="53" s="1"/>
  <c r="O32" i="53" s="1"/>
  <c r="O33" i="53" s="1"/>
  <c r="O34" i="53" s="1"/>
  <c r="O35" i="53" s="1"/>
  <c r="O36" i="53" s="1"/>
  <c r="O37" i="53" s="1"/>
  <c r="O38" i="53" s="1"/>
  <c r="O39" i="53" s="1"/>
  <c r="O40" i="53" s="1"/>
  <c r="O41" i="53" s="1"/>
  <c r="O42" i="53" s="1"/>
  <c r="O43" i="53" s="1"/>
  <c r="O44" i="53" s="1"/>
  <c r="O45" i="53" s="1"/>
  <c r="O46" i="53" s="1"/>
  <c r="O47" i="53" s="1"/>
  <c r="O48" i="53" s="1"/>
  <c r="O49" i="53" s="1"/>
  <c r="S18" i="10"/>
  <c r="AG6" i="53"/>
  <c r="AI6" i="53" s="1"/>
  <c r="AQ6" i="53"/>
  <c r="AS6" i="53" s="1"/>
  <c r="M6" i="53"/>
  <c r="O6" i="53" s="1"/>
  <c r="AP18" i="53"/>
  <c r="B18" i="53"/>
  <c r="AF18" i="53"/>
  <c r="AH5" i="53"/>
  <c r="AR5" i="53"/>
  <c r="C5" i="53"/>
  <c r="E5" i="53" s="1"/>
  <c r="D5" i="53"/>
  <c r="N5" i="53"/>
  <c r="AP13" i="53"/>
  <c r="L13" i="53"/>
  <c r="AF13" i="53"/>
  <c r="B13" i="53"/>
  <c r="AR15" i="53"/>
  <c r="C15" i="53"/>
  <c r="E15" i="53" s="1"/>
  <c r="D15" i="53"/>
  <c r="N15" i="53"/>
  <c r="AH15" i="53"/>
  <c r="AP5" i="53"/>
  <c r="B5" i="53"/>
  <c r="AF5" i="53"/>
  <c r="L5" i="53"/>
  <c r="AG13" i="53"/>
  <c r="AI13" i="53" s="1"/>
  <c r="AQ13" i="53"/>
  <c r="AS13" i="53" s="1"/>
  <c r="M13" i="53"/>
  <c r="O13" i="53" s="1"/>
  <c r="AP15" i="53"/>
  <c r="L15" i="53"/>
  <c r="B15" i="53"/>
  <c r="AF15" i="53"/>
  <c r="AP16" i="53"/>
  <c r="B16" i="53"/>
  <c r="AF16" i="53"/>
  <c r="AG14" i="53"/>
  <c r="AI14" i="53" s="1"/>
  <c r="AQ14" i="53"/>
  <c r="AS14" i="53" s="1"/>
  <c r="M14" i="53"/>
  <c r="O14" i="53" s="1"/>
  <c r="Y87" i="20"/>
  <c r="J87" i="20"/>
  <c r="Y86" i="20"/>
  <c r="J86" i="20"/>
  <c r="AH10" i="53"/>
  <c r="D10" i="53"/>
  <c r="AR10" i="53"/>
  <c r="N10" i="53"/>
  <c r="C10" i="53"/>
  <c r="E10" i="53" s="1"/>
  <c r="AP9" i="53"/>
  <c r="L9" i="53"/>
  <c r="AF9" i="53"/>
  <c r="B9" i="53"/>
  <c r="AP12" i="53"/>
  <c r="B12" i="53"/>
  <c r="AF12" i="53"/>
  <c r="L12" i="53"/>
  <c r="AP17" i="53"/>
  <c r="B17" i="53"/>
  <c r="AF17" i="53"/>
  <c r="AR7" i="53"/>
  <c r="C7" i="53"/>
  <c r="E7" i="53" s="1"/>
  <c r="AH7" i="53"/>
  <c r="D7" i="53"/>
  <c r="N7" i="53"/>
  <c r="AP11" i="53"/>
  <c r="L11" i="53"/>
  <c r="AF11" i="53"/>
  <c r="B11" i="53"/>
  <c r="U95" i="20"/>
  <c r="AF94" i="20"/>
  <c r="J94" i="20"/>
  <c r="C95" i="20"/>
  <c r="Y95" i="20" s="1"/>
  <c r="L32" i="53" s="1"/>
  <c r="J18" i="10"/>
  <c r="AS9" i="22"/>
  <c r="AS4" i="22" s="1"/>
  <c r="AS15" i="22"/>
  <c r="AS5" i="22" s="1"/>
  <c r="AS16" i="22"/>
  <c r="AS17" i="22"/>
  <c r="AS18" i="22"/>
  <c r="AS19" i="22"/>
  <c r="AI9" i="22"/>
  <c r="AI4" i="22" s="1"/>
  <c r="AI15" i="22"/>
  <c r="AI5" i="22" s="1"/>
  <c r="AI16" i="22"/>
  <c r="AI17" i="22"/>
  <c r="AI18" i="22"/>
  <c r="AI19" i="22"/>
  <c r="W20" i="22"/>
  <c r="W21" i="22" s="1"/>
  <c r="W22" i="22" s="1"/>
  <c r="W23" i="22" s="1"/>
  <c r="W24" i="22" s="1"/>
  <c r="W25" i="22" s="1"/>
  <c r="W26" i="22" s="1"/>
  <c r="W27" i="22" s="1"/>
  <c r="W28" i="22" s="1"/>
  <c r="W29" i="22" s="1"/>
  <c r="W30" i="22" s="1"/>
  <c r="W31" i="22" s="1"/>
  <c r="W32" i="22" s="1"/>
  <c r="W33" i="22" s="1"/>
  <c r="W34" i="22" s="1"/>
  <c r="W35" i="22" s="1"/>
  <c r="W36" i="22" s="1"/>
  <c r="W37" i="22" s="1"/>
  <c r="W38" i="22" s="1"/>
  <c r="W39" i="22" s="1"/>
  <c r="W40" i="22" s="1"/>
  <c r="W41" i="22" s="1"/>
  <c r="W42" i="22" s="1"/>
  <c r="W43" i="22" s="1"/>
  <c r="W44" i="22" s="1"/>
  <c r="W45" i="22" s="1"/>
  <c r="W46" i="22" s="1"/>
  <c r="W47" i="22" s="1"/>
  <c r="W48" i="22" s="1"/>
  <c r="W49" i="22" s="1"/>
  <c r="W50" i="22" s="1"/>
  <c r="W51" i="22" s="1"/>
  <c r="W52" i="22" s="1"/>
  <c r="W53" i="22" s="1"/>
  <c r="X20" i="22"/>
  <c r="X21" i="22" s="1"/>
  <c r="X22" i="22" s="1"/>
  <c r="X23" i="22" s="1"/>
  <c r="X24" i="22" s="1"/>
  <c r="X25" i="22" s="1"/>
  <c r="X26" i="22" s="1"/>
  <c r="X27" i="22" s="1"/>
  <c r="X28" i="22" s="1"/>
  <c r="X29" i="22" s="1"/>
  <c r="X30" i="22" s="1"/>
  <c r="X31" i="22" s="1"/>
  <c r="X32" i="22" s="1"/>
  <c r="X33" i="22" s="1"/>
  <c r="X34" i="22" s="1"/>
  <c r="X35" i="22" s="1"/>
  <c r="X36" i="22" s="1"/>
  <c r="X37" i="22" s="1"/>
  <c r="X38" i="22" s="1"/>
  <c r="X39" i="22" s="1"/>
  <c r="X40" i="22" s="1"/>
  <c r="X41" i="22" s="1"/>
  <c r="X42" i="22" s="1"/>
  <c r="X43" i="22" s="1"/>
  <c r="X44" i="22" s="1"/>
  <c r="X45" i="22" s="1"/>
  <c r="X46" i="22" s="1"/>
  <c r="X47" i="22" s="1"/>
  <c r="X48" i="22" s="1"/>
  <c r="X49" i="22" s="1"/>
  <c r="X50" i="22" s="1"/>
  <c r="X51" i="22" s="1"/>
  <c r="X52" i="22" s="1"/>
  <c r="X53" i="22" s="1"/>
  <c r="Y20" i="22"/>
  <c r="Y21" i="22" s="1"/>
  <c r="Y22" i="22" s="1"/>
  <c r="Y23" i="22" s="1"/>
  <c r="Y24" i="22" s="1"/>
  <c r="Y25" i="22" s="1"/>
  <c r="Y26" i="22" s="1"/>
  <c r="Y27" i="22" s="1"/>
  <c r="Y28" i="22" s="1"/>
  <c r="Y29" i="22" s="1"/>
  <c r="Y30" i="22" s="1"/>
  <c r="Y31" i="22" s="1"/>
  <c r="Y32" i="22" s="1"/>
  <c r="Y33" i="22" s="1"/>
  <c r="Y34" i="22" s="1"/>
  <c r="Y35" i="22" s="1"/>
  <c r="Y36" i="22" s="1"/>
  <c r="Y37" i="22" s="1"/>
  <c r="Y38" i="22" s="1"/>
  <c r="Y39" i="22" s="1"/>
  <c r="Y40" i="22" s="1"/>
  <c r="Y41" i="22" s="1"/>
  <c r="Y42" i="22" s="1"/>
  <c r="Y43" i="22" s="1"/>
  <c r="Y44" i="22" s="1"/>
  <c r="Y45" i="22" s="1"/>
  <c r="Y46" i="22" s="1"/>
  <c r="Y47" i="22" s="1"/>
  <c r="Y48" i="22" s="1"/>
  <c r="Y49" i="22" s="1"/>
  <c r="Y50" i="22" s="1"/>
  <c r="Y51" i="22" s="1"/>
  <c r="Y52" i="22" s="1"/>
  <c r="Y53" i="22" s="1"/>
  <c r="Z20" i="22"/>
  <c r="Z21" i="22" s="1"/>
  <c r="Z22" i="22" s="1"/>
  <c r="Z23" i="22" s="1"/>
  <c r="Z24" i="22" s="1"/>
  <c r="Z25" i="22" s="1"/>
  <c r="Z26" i="22" s="1"/>
  <c r="Z27" i="22" s="1"/>
  <c r="Z28" i="22" s="1"/>
  <c r="Z29" i="22" s="1"/>
  <c r="Z30" i="22" s="1"/>
  <c r="Z31" i="22" s="1"/>
  <c r="Z32" i="22" s="1"/>
  <c r="Z33" i="22" s="1"/>
  <c r="Z34" i="22" s="1"/>
  <c r="Z35" i="22" s="1"/>
  <c r="Z36" i="22" s="1"/>
  <c r="Z37" i="22" s="1"/>
  <c r="Z38" i="22" s="1"/>
  <c r="Z39" i="22" s="1"/>
  <c r="Z40" i="22" s="1"/>
  <c r="Z41" i="22" s="1"/>
  <c r="Z42" i="22" s="1"/>
  <c r="Z43" i="22" s="1"/>
  <c r="Z44" i="22" s="1"/>
  <c r="Z45" i="22" s="1"/>
  <c r="Z46" i="22" s="1"/>
  <c r="Z47" i="22" s="1"/>
  <c r="Z48" i="22" s="1"/>
  <c r="Z49" i="22" s="1"/>
  <c r="Z50" i="22" s="1"/>
  <c r="Z51" i="22" s="1"/>
  <c r="Z52" i="22" s="1"/>
  <c r="Z53" i="22" s="1"/>
  <c r="AA20" i="22"/>
  <c r="AA21" i="22" s="1"/>
  <c r="AA22" i="22" s="1"/>
  <c r="AA23" i="22" s="1"/>
  <c r="AA24" i="22" s="1"/>
  <c r="AA25" i="22" s="1"/>
  <c r="AA26" i="22" s="1"/>
  <c r="AA27" i="22" s="1"/>
  <c r="AA28" i="22" s="1"/>
  <c r="AA29" i="22" s="1"/>
  <c r="AA30" i="22" s="1"/>
  <c r="AA31" i="22" s="1"/>
  <c r="AA32" i="22" s="1"/>
  <c r="AA33" i="22" s="1"/>
  <c r="AA34" i="22" s="1"/>
  <c r="AA35" i="22" s="1"/>
  <c r="AA36" i="22" s="1"/>
  <c r="AA37" i="22" s="1"/>
  <c r="AA38" i="22" s="1"/>
  <c r="AA39" i="22" s="1"/>
  <c r="AA40" i="22" s="1"/>
  <c r="AA41" i="22" s="1"/>
  <c r="AA42" i="22" s="1"/>
  <c r="AA43" i="22" s="1"/>
  <c r="AA44" i="22" s="1"/>
  <c r="AA45" i="22" s="1"/>
  <c r="AA46" i="22" s="1"/>
  <c r="AA47" i="22" s="1"/>
  <c r="AA48" i="22" s="1"/>
  <c r="AA49" i="22" s="1"/>
  <c r="AA50" i="22" s="1"/>
  <c r="AA51" i="22" s="1"/>
  <c r="AA52" i="22" s="1"/>
  <c r="AA53" i="22" s="1"/>
  <c r="L4" i="22"/>
  <c r="M9" i="22"/>
  <c r="M15" i="22"/>
  <c r="M16" i="22"/>
  <c r="O16" i="22" s="1"/>
  <c r="M17" i="22"/>
  <c r="M18" i="22"/>
  <c r="O18" i="22" s="1"/>
  <c r="M19" i="22"/>
  <c r="O19" i="22" s="1"/>
  <c r="N9" i="22"/>
  <c r="N4" i="22" s="1"/>
  <c r="N15" i="22"/>
  <c r="N5" i="22" s="1"/>
  <c r="N16" i="22"/>
  <c r="N17" i="22"/>
  <c r="B4" i="22"/>
  <c r="B15" i="22"/>
  <c r="B5" i="22" s="1"/>
  <c r="B16" i="22"/>
  <c r="B17" i="22"/>
  <c r="B18" i="22"/>
  <c r="C4" i="22"/>
  <c r="C5" i="22"/>
  <c r="D4" i="22"/>
  <c r="D5" i="22"/>
  <c r="E4" i="22"/>
  <c r="E5" i="22"/>
  <c r="F10" i="22"/>
  <c r="F11" i="22"/>
  <c r="F12" i="22"/>
  <c r="F13" i="22"/>
  <c r="F14" i="22"/>
  <c r="G10" i="22"/>
  <c r="G11" i="22"/>
  <c r="G12" i="22"/>
  <c r="G13" i="22"/>
  <c r="G14" i="22"/>
  <c r="AS9" i="23"/>
  <c r="AS4" i="23" s="1"/>
  <c r="AS15" i="23"/>
  <c r="AS5" i="23" s="1"/>
  <c r="AS16" i="23"/>
  <c r="AS17" i="23"/>
  <c r="AS18" i="23"/>
  <c r="AS19" i="23"/>
  <c r="AT10" i="23"/>
  <c r="AT11" i="23"/>
  <c r="AT12" i="23"/>
  <c r="AT13" i="23"/>
  <c r="AT14" i="23"/>
  <c r="AT25" i="23"/>
  <c r="AT26" i="23" s="1"/>
  <c r="AT27" i="23" s="1"/>
  <c r="AT28" i="23" s="1"/>
  <c r="AT29" i="23" s="1"/>
  <c r="AT30" i="23" s="1"/>
  <c r="AT31" i="23" s="1"/>
  <c r="AT32" i="23" s="1"/>
  <c r="AT33" i="23" s="1"/>
  <c r="AT34" i="23" s="1"/>
  <c r="AT35" i="23" s="1"/>
  <c r="AT36" i="23" s="1"/>
  <c r="AT37" i="23" s="1"/>
  <c r="AT38" i="23" s="1"/>
  <c r="AT39" i="23" s="1"/>
  <c r="AT40" i="23" s="1"/>
  <c r="AT41" i="23" s="1"/>
  <c r="AT42" i="23" s="1"/>
  <c r="AT43" i="23" s="1"/>
  <c r="AT44" i="23" s="1"/>
  <c r="AT45" i="23" s="1"/>
  <c r="AT46" i="23" s="1"/>
  <c r="AT47" i="23" s="1"/>
  <c r="AT48" i="23" s="1"/>
  <c r="AT49" i="23" s="1"/>
  <c r="AT50" i="23" s="1"/>
  <c r="AT51" i="23" s="1"/>
  <c r="AT52" i="23" s="1"/>
  <c r="AT53" i="23" s="1"/>
  <c r="AU10" i="23"/>
  <c r="AU11" i="23"/>
  <c r="AU12" i="23"/>
  <c r="AU13" i="23"/>
  <c r="AU14" i="23"/>
  <c r="AU25" i="23"/>
  <c r="AU26" i="23" s="1"/>
  <c r="AU27" i="23" s="1"/>
  <c r="AU28" i="23" s="1"/>
  <c r="AU29" i="23" s="1"/>
  <c r="AU30" i="23" s="1"/>
  <c r="AU31" i="23" s="1"/>
  <c r="AU32" i="23" s="1"/>
  <c r="AU33" i="23" s="1"/>
  <c r="AU34" i="23" s="1"/>
  <c r="AU35" i="23" s="1"/>
  <c r="AU36" i="23" s="1"/>
  <c r="AU37" i="23" s="1"/>
  <c r="AU38" i="23" s="1"/>
  <c r="AU39" i="23" s="1"/>
  <c r="AU40" i="23" s="1"/>
  <c r="AU41" i="23" s="1"/>
  <c r="AU42" i="23" s="1"/>
  <c r="AU43" i="23" s="1"/>
  <c r="AU44" i="23" s="1"/>
  <c r="AU45" i="23" s="1"/>
  <c r="AU46" i="23" s="1"/>
  <c r="AU47" i="23" s="1"/>
  <c r="AU48" i="23" s="1"/>
  <c r="AU49" i="23" s="1"/>
  <c r="AU50" i="23" s="1"/>
  <c r="AU51" i="23" s="1"/>
  <c r="AU52" i="23" s="1"/>
  <c r="AU53" i="23" s="1"/>
  <c r="AI9" i="23"/>
  <c r="AI4" i="23" s="1"/>
  <c r="AI15" i="23"/>
  <c r="AI5" i="23" s="1"/>
  <c r="AI16" i="23"/>
  <c r="AI18" i="23"/>
  <c r="AI19" i="23"/>
  <c r="AJ10" i="23"/>
  <c r="AJ11" i="23"/>
  <c r="AJ12" i="23"/>
  <c r="AJ13" i="23"/>
  <c r="AJ14" i="23"/>
  <c r="AJ25" i="23"/>
  <c r="AJ26" i="23" s="1"/>
  <c r="AJ27" i="23" s="1"/>
  <c r="AJ28" i="23" s="1"/>
  <c r="AJ29" i="23" s="1"/>
  <c r="AJ30" i="23" s="1"/>
  <c r="AJ31" i="23" s="1"/>
  <c r="AJ32" i="23" s="1"/>
  <c r="AJ33" i="23" s="1"/>
  <c r="AJ34" i="23" s="1"/>
  <c r="AJ35" i="23" s="1"/>
  <c r="AJ36" i="23" s="1"/>
  <c r="AJ37" i="23" s="1"/>
  <c r="AJ38" i="23" s="1"/>
  <c r="AJ39" i="23" s="1"/>
  <c r="AJ40" i="23" s="1"/>
  <c r="AJ41" i="23" s="1"/>
  <c r="AJ42" i="23" s="1"/>
  <c r="AJ43" i="23" s="1"/>
  <c r="AJ44" i="23" s="1"/>
  <c r="AJ45" i="23" s="1"/>
  <c r="AJ46" i="23" s="1"/>
  <c r="AJ47" i="23" s="1"/>
  <c r="AJ48" i="23" s="1"/>
  <c r="AJ49" i="23" s="1"/>
  <c r="AJ50" i="23" s="1"/>
  <c r="AJ51" i="23" s="1"/>
  <c r="AJ52" i="23" s="1"/>
  <c r="AJ53" i="23" s="1"/>
  <c r="AK10" i="23"/>
  <c r="AK11" i="23"/>
  <c r="AK12" i="23"/>
  <c r="AK13" i="23"/>
  <c r="AK14" i="23"/>
  <c r="AK25" i="23"/>
  <c r="AK26" i="23" s="1"/>
  <c r="AK27" i="23" s="1"/>
  <c r="AK28" i="23" s="1"/>
  <c r="AK29" i="23" s="1"/>
  <c r="AK30" i="23" s="1"/>
  <c r="AK31" i="23" s="1"/>
  <c r="AK32" i="23" s="1"/>
  <c r="AK33" i="23" s="1"/>
  <c r="AK34" i="23" s="1"/>
  <c r="AK35" i="23" s="1"/>
  <c r="AK36" i="23" s="1"/>
  <c r="AK37" i="23" s="1"/>
  <c r="AK38" i="23" s="1"/>
  <c r="AK39" i="23" s="1"/>
  <c r="AK40" i="23" s="1"/>
  <c r="AK41" i="23" s="1"/>
  <c r="AK42" i="23" s="1"/>
  <c r="AK43" i="23" s="1"/>
  <c r="AK44" i="23" s="1"/>
  <c r="AK45" i="23" s="1"/>
  <c r="AK46" i="23" s="1"/>
  <c r="AK47" i="23" s="1"/>
  <c r="AK48" i="23" s="1"/>
  <c r="AK49" i="23" s="1"/>
  <c r="AK50" i="23" s="1"/>
  <c r="AK51" i="23" s="1"/>
  <c r="AK52" i="23" s="1"/>
  <c r="AK53" i="23" s="1"/>
  <c r="V20" i="23"/>
  <c r="V21" i="23" s="1"/>
  <c r="V22" i="23" s="1"/>
  <c r="V23" i="23" s="1"/>
  <c r="V24" i="23" s="1"/>
  <c r="V25" i="23" s="1"/>
  <c r="V26" i="23" s="1"/>
  <c r="V27" i="23" s="1"/>
  <c r="V28" i="23" s="1"/>
  <c r="V29" i="23" s="1"/>
  <c r="V30" i="23" s="1"/>
  <c r="V31" i="23" s="1"/>
  <c r="V32" i="23" s="1"/>
  <c r="V33" i="23" s="1"/>
  <c r="V34" i="23" s="1"/>
  <c r="V35" i="23" s="1"/>
  <c r="V36" i="23" s="1"/>
  <c r="V37" i="23" s="1"/>
  <c r="V38" i="23" s="1"/>
  <c r="V39" i="23" s="1"/>
  <c r="V40" i="23" s="1"/>
  <c r="V41" i="23" s="1"/>
  <c r="V42" i="23" s="1"/>
  <c r="V43" i="23" s="1"/>
  <c r="V44" i="23" s="1"/>
  <c r="V45" i="23" s="1"/>
  <c r="V46" i="23" s="1"/>
  <c r="V47" i="23" s="1"/>
  <c r="V48" i="23" s="1"/>
  <c r="V49" i="23" s="1"/>
  <c r="V50" i="23" s="1"/>
  <c r="V51" i="23" s="1"/>
  <c r="V52" i="23" s="1"/>
  <c r="V53" i="23" s="1"/>
  <c r="W20" i="23"/>
  <c r="W21" i="23" s="1"/>
  <c r="W22" i="23" s="1"/>
  <c r="W23" i="23" s="1"/>
  <c r="W24" i="23" s="1"/>
  <c r="W25" i="23" s="1"/>
  <c r="W26" i="23" s="1"/>
  <c r="W27" i="23" s="1"/>
  <c r="W28" i="23" s="1"/>
  <c r="W29" i="23" s="1"/>
  <c r="W30" i="23" s="1"/>
  <c r="W31" i="23" s="1"/>
  <c r="W32" i="23" s="1"/>
  <c r="W33" i="23" s="1"/>
  <c r="W34" i="23" s="1"/>
  <c r="W35" i="23" s="1"/>
  <c r="W36" i="23" s="1"/>
  <c r="W37" i="23" s="1"/>
  <c r="W38" i="23" s="1"/>
  <c r="W39" i="23" s="1"/>
  <c r="W40" i="23" s="1"/>
  <c r="W41" i="23" s="1"/>
  <c r="W42" i="23" s="1"/>
  <c r="W43" i="23" s="1"/>
  <c r="W44" i="23" s="1"/>
  <c r="W45" i="23" s="1"/>
  <c r="W46" i="23" s="1"/>
  <c r="W47" i="23" s="1"/>
  <c r="W48" i="23" s="1"/>
  <c r="W49" i="23" s="1"/>
  <c r="W50" i="23" s="1"/>
  <c r="W51" i="23" s="1"/>
  <c r="W52" i="23" s="1"/>
  <c r="W53" i="23" s="1"/>
  <c r="X20" i="23"/>
  <c r="X21" i="23" s="1"/>
  <c r="X22" i="23" s="1"/>
  <c r="X23" i="23" s="1"/>
  <c r="X24" i="23" s="1"/>
  <c r="X25" i="23" s="1"/>
  <c r="X26" i="23" s="1"/>
  <c r="X27" i="23" s="1"/>
  <c r="X28" i="23" s="1"/>
  <c r="X29" i="23" s="1"/>
  <c r="X30" i="23" s="1"/>
  <c r="X31" i="23" s="1"/>
  <c r="X32" i="23" s="1"/>
  <c r="X33" i="23" s="1"/>
  <c r="X34" i="23" s="1"/>
  <c r="X35" i="23" s="1"/>
  <c r="X36" i="23" s="1"/>
  <c r="X37" i="23" s="1"/>
  <c r="X38" i="23" s="1"/>
  <c r="X39" i="23" s="1"/>
  <c r="X40" i="23" s="1"/>
  <c r="X41" i="23" s="1"/>
  <c r="X42" i="23" s="1"/>
  <c r="X43" i="23" s="1"/>
  <c r="X44" i="23" s="1"/>
  <c r="X45" i="23" s="1"/>
  <c r="X46" i="23" s="1"/>
  <c r="X47" i="23" s="1"/>
  <c r="X48" i="23" s="1"/>
  <c r="X49" i="23" s="1"/>
  <c r="X50" i="23" s="1"/>
  <c r="X51" i="23" s="1"/>
  <c r="X52" i="23" s="1"/>
  <c r="X53" i="23" s="1"/>
  <c r="Y20" i="23"/>
  <c r="Y21" i="23" s="1"/>
  <c r="Y22" i="23" s="1"/>
  <c r="Y23" i="23" s="1"/>
  <c r="Y24" i="23" s="1"/>
  <c r="Y25" i="23" s="1"/>
  <c r="Y26" i="23" s="1"/>
  <c r="Y27" i="23" s="1"/>
  <c r="Y28" i="23" s="1"/>
  <c r="Y29" i="23" s="1"/>
  <c r="Y30" i="23" s="1"/>
  <c r="Y31" i="23" s="1"/>
  <c r="Y32" i="23" s="1"/>
  <c r="Y33" i="23" s="1"/>
  <c r="Y34" i="23" s="1"/>
  <c r="Y35" i="23" s="1"/>
  <c r="Y36" i="23" s="1"/>
  <c r="Y37" i="23" s="1"/>
  <c r="Y38" i="23" s="1"/>
  <c r="Y39" i="23" s="1"/>
  <c r="Y40" i="23" s="1"/>
  <c r="Y41" i="23" s="1"/>
  <c r="Y42" i="23" s="1"/>
  <c r="Y43" i="23" s="1"/>
  <c r="Y44" i="23" s="1"/>
  <c r="Y45" i="23" s="1"/>
  <c r="Y46" i="23" s="1"/>
  <c r="Y47" i="23" s="1"/>
  <c r="Y48" i="23" s="1"/>
  <c r="Y49" i="23" s="1"/>
  <c r="Y50" i="23" s="1"/>
  <c r="Y51" i="23" s="1"/>
  <c r="Y52" i="23" s="1"/>
  <c r="Y53" i="23" s="1"/>
  <c r="Z20" i="23"/>
  <c r="Z21" i="23" s="1"/>
  <c r="Z22" i="23" s="1"/>
  <c r="Z23" i="23" s="1"/>
  <c r="Z24" i="23" s="1"/>
  <c r="Z25" i="23" s="1"/>
  <c r="Z26" i="23" s="1"/>
  <c r="Z27" i="23" s="1"/>
  <c r="Z28" i="23" s="1"/>
  <c r="Z29" i="23" s="1"/>
  <c r="Z30" i="23" s="1"/>
  <c r="Z31" i="23" s="1"/>
  <c r="Z32" i="23" s="1"/>
  <c r="Z33" i="23" s="1"/>
  <c r="Z34" i="23" s="1"/>
  <c r="Z35" i="23" s="1"/>
  <c r="Z36" i="23" s="1"/>
  <c r="Z37" i="23" s="1"/>
  <c r="Z38" i="23" s="1"/>
  <c r="Z39" i="23" s="1"/>
  <c r="Z40" i="23" s="1"/>
  <c r="Z41" i="23" s="1"/>
  <c r="Z42" i="23" s="1"/>
  <c r="Z43" i="23" s="1"/>
  <c r="Z44" i="23" s="1"/>
  <c r="Z45" i="23" s="1"/>
  <c r="Z46" i="23" s="1"/>
  <c r="Z47" i="23" s="1"/>
  <c r="Z48" i="23" s="1"/>
  <c r="Z49" i="23" s="1"/>
  <c r="Z50" i="23" s="1"/>
  <c r="Z51" i="23" s="1"/>
  <c r="Z52" i="23" s="1"/>
  <c r="Z53" i="23" s="1"/>
  <c r="AA20" i="23"/>
  <c r="AA21" i="23" s="1"/>
  <c r="AA22" i="23" s="1"/>
  <c r="AA23" i="23" s="1"/>
  <c r="AA24" i="23" s="1"/>
  <c r="AA25" i="23" s="1"/>
  <c r="AA26" i="23" s="1"/>
  <c r="AA27" i="23" s="1"/>
  <c r="AA28" i="23" s="1"/>
  <c r="AA29" i="23" s="1"/>
  <c r="AA30" i="23" s="1"/>
  <c r="AA31" i="23" s="1"/>
  <c r="AA32" i="23" s="1"/>
  <c r="AA33" i="23" s="1"/>
  <c r="AA34" i="23" s="1"/>
  <c r="AA35" i="23" s="1"/>
  <c r="AA36" i="23" s="1"/>
  <c r="AA37" i="23" s="1"/>
  <c r="AA38" i="23" s="1"/>
  <c r="AA39" i="23" s="1"/>
  <c r="AA40" i="23" s="1"/>
  <c r="AA41" i="23" s="1"/>
  <c r="AA42" i="23" s="1"/>
  <c r="AA43" i="23" s="1"/>
  <c r="AA44" i="23" s="1"/>
  <c r="AA45" i="23" s="1"/>
  <c r="AA46" i="23" s="1"/>
  <c r="AA47" i="23" s="1"/>
  <c r="AA48" i="23" s="1"/>
  <c r="AA49" i="23" s="1"/>
  <c r="AA50" i="23" s="1"/>
  <c r="AA51" i="23" s="1"/>
  <c r="AA52" i="23" s="1"/>
  <c r="AA53" i="23" s="1"/>
  <c r="P25" i="23"/>
  <c r="P26" i="23" s="1"/>
  <c r="P27" i="23" s="1"/>
  <c r="P28" i="23" s="1"/>
  <c r="P29" i="23" s="1"/>
  <c r="P30" i="23" s="1"/>
  <c r="P31" i="23" s="1"/>
  <c r="P32" i="23" s="1"/>
  <c r="P33" i="23" s="1"/>
  <c r="P34" i="23" s="1"/>
  <c r="P35" i="23" s="1"/>
  <c r="P36" i="23" s="1"/>
  <c r="P37" i="23" s="1"/>
  <c r="P38" i="23" s="1"/>
  <c r="P39" i="23" s="1"/>
  <c r="P40" i="23" s="1"/>
  <c r="P41" i="23" s="1"/>
  <c r="P42" i="23" s="1"/>
  <c r="P43" i="23" s="1"/>
  <c r="P44" i="23" s="1"/>
  <c r="P45" i="23" s="1"/>
  <c r="P46" i="23" s="1"/>
  <c r="P47" i="23" s="1"/>
  <c r="P48" i="23" s="1"/>
  <c r="P49" i="23" s="1"/>
  <c r="P50" i="23" s="1"/>
  <c r="P51" i="23" s="1"/>
  <c r="P52" i="23" s="1"/>
  <c r="P53" i="23" s="1"/>
  <c r="Q25" i="23"/>
  <c r="Q26" i="23" s="1"/>
  <c r="Q27" i="23" s="1"/>
  <c r="Q28" i="23" s="1"/>
  <c r="Q29" i="23" s="1"/>
  <c r="Q30" i="23" s="1"/>
  <c r="Q31" i="23" s="1"/>
  <c r="Q32" i="23" s="1"/>
  <c r="Q33" i="23" s="1"/>
  <c r="Q34" i="23" s="1"/>
  <c r="Q35" i="23" s="1"/>
  <c r="Q36" i="23" s="1"/>
  <c r="Q37" i="23" s="1"/>
  <c r="Q38" i="23" s="1"/>
  <c r="Q39" i="23" s="1"/>
  <c r="Q40" i="23" s="1"/>
  <c r="Q41" i="23" s="1"/>
  <c r="Q42" i="23" s="1"/>
  <c r="Q43" i="23" s="1"/>
  <c r="Q44" i="23" s="1"/>
  <c r="Q45" i="23" s="1"/>
  <c r="Q46" i="23" s="1"/>
  <c r="Q47" i="23" s="1"/>
  <c r="Q48" i="23" s="1"/>
  <c r="Q49" i="23" s="1"/>
  <c r="Q50" i="23" s="1"/>
  <c r="Q51" i="23" s="1"/>
  <c r="Q52" i="23" s="1"/>
  <c r="Q53" i="23" s="1"/>
  <c r="C5" i="23"/>
  <c r="E16" i="23"/>
  <c r="E18" i="23"/>
  <c r="E19" i="23"/>
  <c r="D5" i="23"/>
  <c r="E17" i="23"/>
  <c r="F10" i="23"/>
  <c r="F11" i="23"/>
  <c r="F12" i="23"/>
  <c r="F13" i="23"/>
  <c r="F14" i="23"/>
  <c r="F25" i="23"/>
  <c r="F26" i="23" s="1"/>
  <c r="F27" i="23" s="1"/>
  <c r="F28" i="23" s="1"/>
  <c r="F29" i="23" s="1"/>
  <c r="F30" i="23" s="1"/>
  <c r="F31" i="23" s="1"/>
  <c r="F32" i="23" s="1"/>
  <c r="F33" i="23" s="1"/>
  <c r="F34" i="23" s="1"/>
  <c r="F35" i="23" s="1"/>
  <c r="F36" i="23" s="1"/>
  <c r="F37" i="23" s="1"/>
  <c r="F38" i="23" s="1"/>
  <c r="F39" i="23" s="1"/>
  <c r="F40" i="23" s="1"/>
  <c r="F41" i="23" s="1"/>
  <c r="F42" i="23" s="1"/>
  <c r="F43" i="23" s="1"/>
  <c r="F44" i="23" s="1"/>
  <c r="F45" i="23" s="1"/>
  <c r="F46" i="23" s="1"/>
  <c r="F47" i="23" s="1"/>
  <c r="F48" i="23" s="1"/>
  <c r="F49" i="23" s="1"/>
  <c r="F50" i="23" s="1"/>
  <c r="F51" i="23" s="1"/>
  <c r="F52" i="23" s="1"/>
  <c r="F53" i="23" s="1"/>
  <c r="G10" i="23"/>
  <c r="G11" i="23"/>
  <c r="G12" i="23"/>
  <c r="G13" i="23"/>
  <c r="G14" i="23"/>
  <c r="G25" i="23"/>
  <c r="G26" i="23" s="1"/>
  <c r="G27" i="23" s="1"/>
  <c r="G28" i="23" s="1"/>
  <c r="G29" i="23" s="1"/>
  <c r="G30" i="23" s="1"/>
  <c r="G31" i="23" s="1"/>
  <c r="G32" i="23" s="1"/>
  <c r="G33" i="23" s="1"/>
  <c r="G34" i="23" s="1"/>
  <c r="G35" i="23" s="1"/>
  <c r="G36" i="23" s="1"/>
  <c r="G37" i="23" s="1"/>
  <c r="G38" i="23" s="1"/>
  <c r="G39" i="23" s="1"/>
  <c r="G40" i="23" s="1"/>
  <c r="G41" i="23" s="1"/>
  <c r="G42" i="23" s="1"/>
  <c r="G43" i="23" s="1"/>
  <c r="G44" i="23" s="1"/>
  <c r="G45" i="23" s="1"/>
  <c r="G46" i="23" s="1"/>
  <c r="G47" i="23" s="1"/>
  <c r="G48" i="23" s="1"/>
  <c r="G49" i="23" s="1"/>
  <c r="G50" i="23" s="1"/>
  <c r="G51" i="23" s="1"/>
  <c r="G52" i="23" s="1"/>
  <c r="G53" i="23" s="1"/>
  <c r="C4" i="23"/>
  <c r="D4" i="23"/>
  <c r="AU20" i="22"/>
  <c r="AU21" i="22" s="1"/>
  <c r="AU22" i="22" s="1"/>
  <c r="AU23" i="22" s="1"/>
  <c r="AU24" i="22" s="1"/>
  <c r="AU25" i="22" s="1"/>
  <c r="AU26" i="22" s="1"/>
  <c r="AU27" i="22" s="1"/>
  <c r="AU28" i="22" s="1"/>
  <c r="AU29" i="22" s="1"/>
  <c r="AU30" i="22" s="1"/>
  <c r="AU31" i="22" s="1"/>
  <c r="AU32" i="22" s="1"/>
  <c r="AU33" i="22" s="1"/>
  <c r="AU34" i="22" s="1"/>
  <c r="AU35" i="22" s="1"/>
  <c r="AU36" i="22" s="1"/>
  <c r="AU37" i="22" s="1"/>
  <c r="AU38" i="22" s="1"/>
  <c r="AU39" i="22" s="1"/>
  <c r="AU40" i="22" s="1"/>
  <c r="AU41" i="22" s="1"/>
  <c r="AU42" i="22" s="1"/>
  <c r="AU43" i="22" s="1"/>
  <c r="AU44" i="22" s="1"/>
  <c r="AU45" i="22" s="1"/>
  <c r="AU46" i="22" s="1"/>
  <c r="AU47" i="22" s="1"/>
  <c r="AU48" i="22" s="1"/>
  <c r="AU49" i="22" s="1"/>
  <c r="AU50" i="22" s="1"/>
  <c r="AU51" i="22" s="1"/>
  <c r="AU52" i="22" s="1"/>
  <c r="AU53" i="22" s="1"/>
  <c r="AT20" i="22"/>
  <c r="AT21" i="22" s="1"/>
  <c r="AT22" i="22" s="1"/>
  <c r="AT23" i="22" s="1"/>
  <c r="AT24" i="22" s="1"/>
  <c r="AT25" i="22" s="1"/>
  <c r="AT26" i="22" s="1"/>
  <c r="AT27" i="22" s="1"/>
  <c r="AT28" i="22" s="1"/>
  <c r="AT29" i="22" s="1"/>
  <c r="AT30" i="22" s="1"/>
  <c r="AT31" i="22" s="1"/>
  <c r="AT32" i="22" s="1"/>
  <c r="AT33" i="22" s="1"/>
  <c r="AT34" i="22" s="1"/>
  <c r="AT35" i="22" s="1"/>
  <c r="AT36" i="22" s="1"/>
  <c r="AT37" i="22" s="1"/>
  <c r="AT38" i="22" s="1"/>
  <c r="AT39" i="22" s="1"/>
  <c r="AT40" i="22" s="1"/>
  <c r="AT41" i="22" s="1"/>
  <c r="AT42" i="22" s="1"/>
  <c r="AT43" i="22" s="1"/>
  <c r="AT44" i="22" s="1"/>
  <c r="AT45" i="22" s="1"/>
  <c r="AT46" i="22" s="1"/>
  <c r="AT47" i="22" s="1"/>
  <c r="AT48" i="22" s="1"/>
  <c r="AT49" i="22" s="1"/>
  <c r="AT50" i="22" s="1"/>
  <c r="AT51" i="22" s="1"/>
  <c r="AT52" i="22" s="1"/>
  <c r="AT53" i="22" s="1"/>
  <c r="AJ20" i="22"/>
  <c r="AJ21" i="22" s="1"/>
  <c r="AJ22" i="22" s="1"/>
  <c r="AJ23" i="22" s="1"/>
  <c r="AJ24" i="22" s="1"/>
  <c r="AJ25" i="22" s="1"/>
  <c r="AJ26" i="22" s="1"/>
  <c r="AJ27" i="22" s="1"/>
  <c r="AJ28" i="22" s="1"/>
  <c r="AJ29" i="22" s="1"/>
  <c r="AJ30" i="22" s="1"/>
  <c r="AJ31" i="22" s="1"/>
  <c r="AJ32" i="22" s="1"/>
  <c r="AJ33" i="22" s="1"/>
  <c r="AJ34" i="22" s="1"/>
  <c r="AJ35" i="22" s="1"/>
  <c r="AJ36" i="22" s="1"/>
  <c r="AJ37" i="22" s="1"/>
  <c r="AJ38" i="22" s="1"/>
  <c r="AJ39" i="22" s="1"/>
  <c r="AJ40" i="22" s="1"/>
  <c r="AJ41" i="22" s="1"/>
  <c r="AJ42" i="22" s="1"/>
  <c r="AJ43" i="22" s="1"/>
  <c r="AJ44" i="22" s="1"/>
  <c r="AJ45" i="22" s="1"/>
  <c r="AJ46" i="22" s="1"/>
  <c r="AJ47" i="22" s="1"/>
  <c r="AJ48" i="22" s="1"/>
  <c r="AJ49" i="22" s="1"/>
  <c r="AJ50" i="22" s="1"/>
  <c r="AJ51" i="22" s="1"/>
  <c r="AJ52" i="22" s="1"/>
  <c r="AJ53" i="22" s="1"/>
  <c r="AK20" i="22"/>
  <c r="AK21" i="22" s="1"/>
  <c r="AK22" i="22" s="1"/>
  <c r="AK23" i="22" s="1"/>
  <c r="AK24" i="22" s="1"/>
  <c r="AK25" i="22" s="1"/>
  <c r="AK26" i="22" s="1"/>
  <c r="AK27" i="22" s="1"/>
  <c r="AK28" i="22" s="1"/>
  <c r="AK29" i="22" s="1"/>
  <c r="AK30" i="22" s="1"/>
  <c r="AK31" i="22" s="1"/>
  <c r="AK32" i="22" s="1"/>
  <c r="AK33" i="22" s="1"/>
  <c r="AK34" i="22" s="1"/>
  <c r="AK35" i="22" s="1"/>
  <c r="AK36" i="22" s="1"/>
  <c r="AK37" i="22" s="1"/>
  <c r="AK38" i="22" s="1"/>
  <c r="AK39" i="22" s="1"/>
  <c r="AK40" i="22" s="1"/>
  <c r="AK41" i="22" s="1"/>
  <c r="AK42" i="22" s="1"/>
  <c r="AK43" i="22" s="1"/>
  <c r="AK44" i="22" s="1"/>
  <c r="AK45" i="22" s="1"/>
  <c r="AK46" i="22" s="1"/>
  <c r="AK47" i="22" s="1"/>
  <c r="AK48" i="22" s="1"/>
  <c r="AK49" i="22" s="1"/>
  <c r="AK50" i="22" s="1"/>
  <c r="AK51" i="22" s="1"/>
  <c r="AK52" i="22" s="1"/>
  <c r="AK53" i="22" s="1"/>
  <c r="V20" i="22"/>
  <c r="V21" i="22" s="1"/>
  <c r="V22" i="22" s="1"/>
  <c r="V23" i="22" s="1"/>
  <c r="V24" i="22" s="1"/>
  <c r="V25" i="22" s="1"/>
  <c r="V26" i="22" s="1"/>
  <c r="V27" i="22" s="1"/>
  <c r="V28" i="22" s="1"/>
  <c r="V29" i="22" s="1"/>
  <c r="V30" i="22" s="1"/>
  <c r="V31" i="22" s="1"/>
  <c r="V32" i="22" s="1"/>
  <c r="V33" i="22" s="1"/>
  <c r="V34" i="22" s="1"/>
  <c r="V35" i="22" s="1"/>
  <c r="V36" i="22" s="1"/>
  <c r="V37" i="22" s="1"/>
  <c r="V38" i="22" s="1"/>
  <c r="V39" i="22" s="1"/>
  <c r="V40" i="22" s="1"/>
  <c r="V41" i="22" s="1"/>
  <c r="V42" i="22" s="1"/>
  <c r="V43" i="22" s="1"/>
  <c r="V44" i="22" s="1"/>
  <c r="V45" i="22" s="1"/>
  <c r="V46" i="22" s="1"/>
  <c r="V47" i="22" s="1"/>
  <c r="V48" i="22" s="1"/>
  <c r="V49" i="22" s="1"/>
  <c r="V50" i="22" s="1"/>
  <c r="V51" i="22" s="1"/>
  <c r="V52" i="22" s="1"/>
  <c r="V53" i="22" s="1"/>
  <c r="P20" i="22"/>
  <c r="P21" i="22" s="1"/>
  <c r="AU14" i="22"/>
  <c r="AU13" i="22"/>
  <c r="AU12" i="22"/>
  <c r="AU11" i="22"/>
  <c r="AU10" i="22"/>
  <c r="AK14" i="22"/>
  <c r="AJ14" i="22"/>
  <c r="AK13" i="22"/>
  <c r="AJ13" i="22"/>
  <c r="AK12" i="22"/>
  <c r="AJ12" i="22"/>
  <c r="AK11" i="22"/>
  <c r="AJ11" i="22"/>
  <c r="AK10" i="22"/>
  <c r="AJ10" i="22"/>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F34" i="20"/>
  <c r="H34" i="20"/>
  <c r="I34" i="20"/>
  <c r="F35" i="20"/>
  <c r="H35" i="20"/>
  <c r="I35" i="20"/>
  <c r="F36" i="20"/>
  <c r="H36" i="20"/>
  <c r="I36" i="20"/>
  <c r="F37" i="20"/>
  <c r="H37" i="20"/>
  <c r="I37" i="20"/>
  <c r="F38" i="20"/>
  <c r="H38" i="20"/>
  <c r="I38" i="20"/>
  <c r="F39" i="20"/>
  <c r="H39" i="20"/>
  <c r="I39" i="20"/>
  <c r="F40" i="20"/>
  <c r="H40" i="20"/>
  <c r="I40" i="20"/>
  <c r="F41" i="20"/>
  <c r="H41" i="20"/>
  <c r="I41" i="20"/>
  <c r="F42" i="20"/>
  <c r="H42" i="20"/>
  <c r="I42" i="20"/>
  <c r="F43" i="20"/>
  <c r="H43" i="20"/>
  <c r="I43" i="20"/>
  <c r="F44" i="20"/>
  <c r="H44" i="20"/>
  <c r="I44" i="20"/>
  <c r="F45" i="20"/>
  <c r="H45" i="20"/>
  <c r="I45" i="20"/>
  <c r="F46" i="20"/>
  <c r="H46" i="20"/>
  <c r="I46" i="20"/>
  <c r="F47" i="20"/>
  <c r="H47" i="20"/>
  <c r="I47" i="20"/>
  <c r="F48" i="20"/>
  <c r="H48" i="20"/>
  <c r="I48" i="20"/>
  <c r="F49" i="20"/>
  <c r="H49" i="20"/>
  <c r="I49" i="20"/>
  <c r="F50" i="20"/>
  <c r="H50" i="20"/>
  <c r="I50" i="20"/>
  <c r="F51" i="20"/>
  <c r="H51" i="20"/>
  <c r="I51" i="20"/>
  <c r="F52" i="20"/>
  <c r="H52" i="20"/>
  <c r="I52" i="20"/>
  <c r="F53" i="20"/>
  <c r="H53" i="20"/>
  <c r="I53" i="20"/>
  <c r="F54" i="20"/>
  <c r="H54" i="20"/>
  <c r="I54" i="20"/>
  <c r="F55" i="20"/>
  <c r="H55" i="20"/>
  <c r="I55" i="20"/>
  <c r="F56" i="20"/>
  <c r="H56" i="20"/>
  <c r="I56" i="20"/>
  <c r="F57" i="20"/>
  <c r="H57" i="20"/>
  <c r="I57" i="20"/>
  <c r="F58" i="20"/>
  <c r="H58" i="20"/>
  <c r="I58" i="20"/>
  <c r="F59" i="20"/>
  <c r="H59" i="20"/>
  <c r="I59" i="20"/>
  <c r="F60" i="20"/>
  <c r="H60" i="20"/>
  <c r="I60" i="20"/>
  <c r="F61" i="20"/>
  <c r="H61" i="20"/>
  <c r="I61" i="20"/>
  <c r="H33" i="20"/>
  <c r="I33" i="20"/>
  <c r="B4" i="23"/>
  <c r="AF25" i="20"/>
  <c r="B5" i="23"/>
  <c r="R107" i="12"/>
  <c r="Y121" i="20"/>
  <c r="Y126" i="20"/>
  <c r="Z126" i="20"/>
  <c r="AA126" i="20"/>
  <c r="AB126" i="20"/>
  <c r="AC126" i="20"/>
  <c r="AE126" i="20"/>
  <c r="Z120" i="20"/>
  <c r="AA120" i="20"/>
  <c r="AB120" i="20"/>
  <c r="AC120" i="20"/>
  <c r="AE120" i="20"/>
  <c r="I130" i="20"/>
  <c r="I129" i="20"/>
  <c r="I128" i="20"/>
  <c r="I127" i="20"/>
  <c r="I126" i="20"/>
  <c r="I125" i="20"/>
  <c r="I124" i="20"/>
  <c r="I123" i="20"/>
  <c r="I122" i="20"/>
  <c r="I121" i="20"/>
  <c r="I120" i="20"/>
  <c r="AD30" i="10"/>
  <c r="AD34" i="10"/>
  <c r="AD38" i="10"/>
  <c r="AD42" i="10"/>
  <c r="AD46" i="10"/>
  <c r="AD50" i="10"/>
  <c r="M19" i="10"/>
  <c r="M20" i="10"/>
  <c r="M21" i="10"/>
  <c r="M22" i="10"/>
  <c r="B24" i="23" s="1"/>
  <c r="M23" i="10"/>
  <c r="AA33" i="20" s="1"/>
  <c r="M24" i="10"/>
  <c r="AA34" i="20" s="1"/>
  <c r="M25" i="10"/>
  <c r="AA35" i="20" s="1"/>
  <c r="M26" i="10"/>
  <c r="AA36" i="20" s="1"/>
  <c r="M27" i="10"/>
  <c r="AA37" i="20" s="1"/>
  <c r="M28" i="10"/>
  <c r="AA38" i="20" s="1"/>
  <c r="M29" i="10"/>
  <c r="AA39" i="20" s="1"/>
  <c r="M30" i="10"/>
  <c r="AA40" i="20" s="1"/>
  <c r="M31" i="10"/>
  <c r="AA41" i="20" s="1"/>
  <c r="M32" i="10"/>
  <c r="AA42" i="20" s="1"/>
  <c r="M33" i="10"/>
  <c r="AA43" i="20" s="1"/>
  <c r="M34" i="10"/>
  <c r="M35" i="10"/>
  <c r="AA45" i="20" s="1"/>
  <c r="M36" i="10"/>
  <c r="AA46" i="20" s="1"/>
  <c r="M37" i="10"/>
  <c r="M38" i="10"/>
  <c r="AA48" i="20" s="1"/>
  <c r="M39" i="10"/>
  <c r="AA49" i="20" s="1"/>
  <c r="M40" i="10"/>
  <c r="AA50" i="20" s="1"/>
  <c r="M41" i="10"/>
  <c r="AA51" i="20" s="1"/>
  <c r="M42" i="10"/>
  <c r="AA52" i="20" s="1"/>
  <c r="M43" i="10"/>
  <c r="AA53" i="20" s="1"/>
  <c r="M44" i="10"/>
  <c r="AA54" i="20" s="1"/>
  <c r="M45" i="10"/>
  <c r="M46" i="10"/>
  <c r="AA56" i="20" s="1"/>
  <c r="M47" i="10"/>
  <c r="AA57" i="20" s="1"/>
  <c r="M48" i="10"/>
  <c r="AA58" i="20" s="1"/>
  <c r="M49" i="10"/>
  <c r="AA59" i="20" s="1"/>
  <c r="M50" i="10"/>
  <c r="M51" i="10"/>
  <c r="AA61" i="20" s="1"/>
  <c r="M18" i="10"/>
  <c r="H60" i="5"/>
  <c r="S130" i="20"/>
  <c r="S129" i="20"/>
  <c r="S128" i="20"/>
  <c r="S127" i="20"/>
  <c r="S126" i="20"/>
  <c r="S120" i="20"/>
  <c r="C11" i="12"/>
  <c r="C17" i="12" s="1"/>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AJ18" i="12"/>
  <c r="AK18" i="12"/>
  <c r="AL18" i="12"/>
  <c r="AM18" i="12"/>
  <c r="AN18" i="12"/>
  <c r="AO18" i="12"/>
  <c r="AP18" i="12"/>
  <c r="AQ18" i="12"/>
  <c r="AR18" i="12"/>
  <c r="AS18" i="12"/>
  <c r="AT18" i="12"/>
  <c r="AU18" i="12"/>
  <c r="AV18" i="12"/>
  <c r="C18" i="12"/>
  <c r="AT11" i="12"/>
  <c r="AT15" i="12" s="1"/>
  <c r="AU17" i="12"/>
  <c r="AV11" i="12"/>
  <c r="AV15" i="12" s="1"/>
  <c r="D11" i="12"/>
  <c r="E11" i="12"/>
  <c r="E17" i="12" s="1"/>
  <c r="F11" i="12"/>
  <c r="G11" i="12"/>
  <c r="H11" i="12"/>
  <c r="I11" i="12"/>
  <c r="J11" i="12"/>
  <c r="K11" i="12"/>
  <c r="L11" i="12"/>
  <c r="M11" i="12"/>
  <c r="N11" i="12"/>
  <c r="O11" i="12"/>
  <c r="P11" i="12"/>
  <c r="P15" i="12" s="1"/>
  <c r="Q11" i="12"/>
  <c r="Q15" i="12" s="1"/>
  <c r="R11" i="12"/>
  <c r="R15" i="12" s="1"/>
  <c r="S11" i="12"/>
  <c r="S15" i="12" s="1"/>
  <c r="T11" i="12"/>
  <c r="T15" i="12" s="1"/>
  <c r="U11" i="12"/>
  <c r="U15" i="12" s="1"/>
  <c r="V11" i="12"/>
  <c r="V15" i="12" s="1"/>
  <c r="W11" i="12"/>
  <c r="W15" i="12" s="1"/>
  <c r="X11" i="12"/>
  <c r="X15" i="12" s="1"/>
  <c r="Y11" i="12"/>
  <c r="Y15" i="12" s="1"/>
  <c r="Z11" i="12"/>
  <c r="Z15" i="12" s="1"/>
  <c r="AA11" i="12"/>
  <c r="AA15" i="12" s="1"/>
  <c r="AB11" i="12"/>
  <c r="AB15" i="12" s="1"/>
  <c r="AC11" i="12"/>
  <c r="AC15" i="12" s="1"/>
  <c r="AD11" i="12"/>
  <c r="AD15" i="12" s="1"/>
  <c r="AE11" i="12"/>
  <c r="AE15" i="12" s="1"/>
  <c r="AF11" i="12"/>
  <c r="AF15" i="12" s="1"/>
  <c r="AG11" i="12"/>
  <c r="AG15" i="12" s="1"/>
  <c r="AH11" i="12"/>
  <c r="AH15" i="12" s="1"/>
  <c r="AI11" i="12"/>
  <c r="AI15" i="12" s="1"/>
  <c r="AJ11" i="12"/>
  <c r="AJ15" i="12" s="1"/>
  <c r="AK11" i="12"/>
  <c r="AK15" i="12" s="1"/>
  <c r="AL11" i="12"/>
  <c r="AL15" i="12" s="1"/>
  <c r="AM11" i="12"/>
  <c r="AM15" i="12" s="1"/>
  <c r="AN11" i="12"/>
  <c r="AN15" i="12" s="1"/>
  <c r="AO11" i="12"/>
  <c r="AO15" i="12" s="1"/>
  <c r="AP17" i="12"/>
  <c r="AQ11" i="12"/>
  <c r="AQ15" i="12" s="1"/>
  <c r="AR11" i="12"/>
  <c r="AR15" i="12" s="1"/>
  <c r="AS11" i="12"/>
  <c r="AS15" i="12" s="1"/>
  <c r="F4" i="13"/>
  <c r="O74" i="12"/>
  <c r="D19" i="12" s="1"/>
  <c r="P74" i="12"/>
  <c r="E19" i="12" s="1"/>
  <c r="Q74" i="12"/>
  <c r="F19" i="12" s="1"/>
  <c r="R74" i="12"/>
  <c r="G19" i="12" s="1"/>
  <c r="S74" i="12"/>
  <c r="H19" i="12" s="1"/>
  <c r="T74" i="12"/>
  <c r="I19" i="12" s="1"/>
  <c r="U74" i="12"/>
  <c r="J19" i="12" s="1"/>
  <c r="V74" i="12"/>
  <c r="K19" i="12"/>
  <c r="W74" i="12"/>
  <c r="L19" i="12" s="1"/>
  <c r="X74" i="12"/>
  <c r="M19" i="12" s="1"/>
  <c r="Y74" i="12"/>
  <c r="N19" i="12" s="1"/>
  <c r="Z74" i="12"/>
  <c r="O19" i="12"/>
  <c r="AA74" i="12"/>
  <c r="P19" i="12" s="1"/>
  <c r="AB74" i="12"/>
  <c r="Q19" i="12" s="1"/>
  <c r="AC74" i="12"/>
  <c r="R19" i="12" s="1"/>
  <c r="AD74" i="12"/>
  <c r="S19" i="12"/>
  <c r="AE74" i="12"/>
  <c r="T19" i="12" s="1"/>
  <c r="AF74" i="12"/>
  <c r="U19" i="12" s="1"/>
  <c r="AG74" i="12"/>
  <c r="V19" i="12" s="1"/>
  <c r="AH74" i="12"/>
  <c r="W19" i="12" s="1"/>
  <c r="AI74" i="12"/>
  <c r="X19" i="12" s="1"/>
  <c r="AJ74" i="12"/>
  <c r="Y19" i="12" s="1"/>
  <c r="AK74" i="12"/>
  <c r="Z19" i="12" s="1"/>
  <c r="AL74" i="12"/>
  <c r="AA19" i="12"/>
  <c r="AM74" i="12"/>
  <c r="AB19" i="12" s="1"/>
  <c r="AN74" i="12"/>
  <c r="AC19" i="12" s="1"/>
  <c r="AO74" i="12"/>
  <c r="AD19" i="12" s="1"/>
  <c r="AP74" i="12"/>
  <c r="AE19" i="12"/>
  <c r="AQ74" i="12"/>
  <c r="AF19" i="12" s="1"/>
  <c r="AR74" i="12"/>
  <c r="AG19" i="12" s="1"/>
  <c r="AS74" i="12"/>
  <c r="AH19" i="12" s="1"/>
  <c r="AT74" i="12"/>
  <c r="AI19" i="12" s="1"/>
  <c r="AU74" i="12"/>
  <c r="AJ19" i="12" s="1"/>
  <c r="AV74" i="12"/>
  <c r="AK19" i="12" s="1"/>
  <c r="AW74" i="12"/>
  <c r="AL19" i="12" s="1"/>
  <c r="AX74" i="12"/>
  <c r="AM19" i="12" s="1"/>
  <c r="AY74" i="12"/>
  <c r="AN19" i="12" s="1"/>
  <c r="AZ74" i="12"/>
  <c r="AO19" i="12" s="1"/>
  <c r="BA74" i="12"/>
  <c r="AP19" i="12" s="1"/>
  <c r="BB74" i="12"/>
  <c r="AQ19" i="12"/>
  <c r="BC74" i="12"/>
  <c r="AR19" i="12" s="1"/>
  <c r="BD74" i="12"/>
  <c r="AS19" i="12" s="1"/>
  <c r="BE74" i="12"/>
  <c r="AT19" i="12" s="1"/>
  <c r="BF74" i="12"/>
  <c r="AU19" i="12"/>
  <c r="BG74" i="12"/>
  <c r="AV19" i="12" s="1"/>
  <c r="N74" i="12"/>
  <c r="C19" i="12" s="1"/>
  <c r="Z48" i="12"/>
  <c r="AA48" i="12" s="1"/>
  <c r="Z49" i="12"/>
  <c r="AA49" i="12"/>
  <c r="Z50" i="12"/>
  <c r="AA50" i="12" s="1"/>
  <c r="AS14" i="12"/>
  <c r="AQ10" i="12"/>
  <c r="AR10" i="12"/>
  <c r="AS10" i="12"/>
  <c r="AT10" i="12"/>
  <c r="AU10" i="12"/>
  <c r="AV10" i="12"/>
  <c r="AI10" i="12"/>
  <c r="AJ10" i="12"/>
  <c r="AK10" i="12"/>
  <c r="AL10" i="12"/>
  <c r="AM10" i="12"/>
  <c r="AN10" i="12"/>
  <c r="AO10" i="12"/>
  <c r="AP10" i="12"/>
  <c r="X10" i="12"/>
  <c r="Y10" i="12"/>
  <c r="Z10" i="12"/>
  <c r="AA10" i="12"/>
  <c r="AB10" i="12"/>
  <c r="AC10" i="12"/>
  <c r="AD10" i="12"/>
  <c r="AE10" i="12"/>
  <c r="AF10" i="12"/>
  <c r="AG10" i="12"/>
  <c r="AH10" i="12"/>
  <c r="E10" i="12"/>
  <c r="F10" i="12"/>
  <c r="G10" i="12"/>
  <c r="H10" i="12"/>
  <c r="I10" i="12"/>
  <c r="J10" i="12"/>
  <c r="K10" i="12"/>
  <c r="L10" i="12"/>
  <c r="M10" i="12"/>
  <c r="N10" i="12"/>
  <c r="O10" i="12"/>
  <c r="P10" i="12"/>
  <c r="Q10" i="12"/>
  <c r="R10" i="12"/>
  <c r="S10" i="12"/>
  <c r="T10" i="12"/>
  <c r="U10" i="12"/>
  <c r="V10" i="12"/>
  <c r="W10" i="12"/>
  <c r="D10" i="12"/>
  <c r="C10" i="12"/>
  <c r="X61" i="4"/>
  <c r="X62" i="4"/>
  <c r="X63" i="4"/>
  <c r="X64" i="4"/>
  <c r="X60" i="4"/>
  <c r="X54" i="4"/>
  <c r="X60" i="5"/>
  <c r="AD126" i="20" s="1"/>
  <c r="X54" i="5"/>
  <c r="AD120" i="20" s="1"/>
  <c r="I54" i="5"/>
  <c r="J54" i="5"/>
  <c r="K54" i="5"/>
  <c r="L54" i="5"/>
  <c r="M54" i="5"/>
  <c r="I60" i="5"/>
  <c r="J60" i="5"/>
  <c r="K60" i="5"/>
  <c r="L60" i="5"/>
  <c r="M60" i="5"/>
  <c r="I61" i="5"/>
  <c r="J61" i="5"/>
  <c r="K61" i="5"/>
  <c r="L61" i="5"/>
  <c r="M61" i="5"/>
  <c r="I62" i="5"/>
  <c r="J62" i="5"/>
  <c r="K62" i="5"/>
  <c r="L62" i="5"/>
  <c r="M62" i="5"/>
  <c r="I63" i="5"/>
  <c r="J63" i="5"/>
  <c r="K63" i="5"/>
  <c r="L63" i="5"/>
  <c r="M63" i="5"/>
  <c r="I64" i="5"/>
  <c r="J64" i="5"/>
  <c r="L64" i="5"/>
  <c r="M64" i="5"/>
  <c r="H60" i="4"/>
  <c r="J60" i="4"/>
  <c r="K60" i="4"/>
  <c r="L60" i="4"/>
  <c r="M60" i="4"/>
  <c r="N60" i="4"/>
  <c r="O14" i="4"/>
  <c r="O34" i="4"/>
  <c r="H61" i="4"/>
  <c r="I61" i="4"/>
  <c r="J61" i="4"/>
  <c r="K61" i="4"/>
  <c r="L61" i="4"/>
  <c r="M61" i="4"/>
  <c r="N61" i="4"/>
  <c r="O15" i="4"/>
  <c r="O35" i="4"/>
  <c r="H62" i="4"/>
  <c r="I62" i="4"/>
  <c r="J62" i="4"/>
  <c r="K62" i="4"/>
  <c r="L62" i="4"/>
  <c r="M62" i="4"/>
  <c r="N62" i="4"/>
  <c r="O16" i="4"/>
  <c r="O36" i="4"/>
  <c r="H63" i="4"/>
  <c r="I63" i="4"/>
  <c r="J63" i="4"/>
  <c r="K63" i="4"/>
  <c r="L63" i="4"/>
  <c r="M63" i="4"/>
  <c r="N63" i="4"/>
  <c r="O17" i="4"/>
  <c r="O37" i="4"/>
  <c r="O38" i="4"/>
  <c r="J54" i="4"/>
  <c r="K54" i="4"/>
  <c r="L54" i="4"/>
  <c r="M54" i="4"/>
  <c r="N54" i="4"/>
  <c r="O8" i="4"/>
  <c r="O28" i="4"/>
  <c r="H54" i="4"/>
  <c r="N27" i="5"/>
  <c r="N28" i="5"/>
  <c r="N34" i="5"/>
  <c r="N35" i="5"/>
  <c r="N36" i="5"/>
  <c r="N37" i="5"/>
  <c r="N8" i="5"/>
  <c r="N9" i="5"/>
  <c r="N10" i="5"/>
  <c r="N11" i="5"/>
  <c r="N12" i="5"/>
  <c r="N13" i="5"/>
  <c r="N60" i="5" s="1"/>
  <c r="N14" i="5"/>
  <c r="N61" i="5" s="1"/>
  <c r="N15" i="5"/>
  <c r="N16" i="5"/>
  <c r="N63" i="5" s="1"/>
  <c r="N6" i="5"/>
  <c r="O13" i="4"/>
  <c r="O7" i="4"/>
  <c r="O27" i="4"/>
  <c r="N38" i="5"/>
  <c r="N7" i="5"/>
  <c r="N17" i="5"/>
  <c r="O28" i="1"/>
  <c r="O29" i="1"/>
  <c r="O30" i="1"/>
  <c r="O31" i="1"/>
  <c r="O27" i="1"/>
  <c r="E35" i="4"/>
  <c r="D35" i="4"/>
  <c r="E14" i="4"/>
  <c r="D14" i="4"/>
  <c r="M36" i="1"/>
  <c r="K33" i="1"/>
  <c r="F28" i="1"/>
  <c r="L28" i="1" s="1"/>
  <c r="F29" i="1"/>
  <c r="M29" i="1" s="1"/>
  <c r="F30" i="1"/>
  <c r="J30" i="1" s="1"/>
  <c r="F31" i="1"/>
  <c r="M31" i="1" s="1"/>
  <c r="F32" i="1"/>
  <c r="L32" i="1" s="1"/>
  <c r="F33" i="1"/>
  <c r="M33" i="1" s="1"/>
  <c r="F34" i="1"/>
  <c r="J34" i="1" s="1"/>
  <c r="F35" i="1"/>
  <c r="M35" i="1" s="1"/>
  <c r="F36" i="1"/>
  <c r="L36" i="1" s="1"/>
  <c r="F37" i="1"/>
  <c r="M37" i="1" s="1"/>
  <c r="F27" i="1"/>
  <c r="M27" i="1" s="1"/>
  <c r="F13" i="1"/>
  <c r="I13" i="1" s="1"/>
  <c r="J12" i="1"/>
  <c r="I15" i="1"/>
  <c r="F8" i="1"/>
  <c r="I8" i="1" s="1"/>
  <c r="F9" i="1"/>
  <c r="I9" i="1" s="1"/>
  <c r="F10" i="1"/>
  <c r="K10" i="1" s="1"/>
  <c r="F11" i="1"/>
  <c r="M11" i="1" s="1"/>
  <c r="F12" i="1"/>
  <c r="I12" i="1" s="1"/>
  <c r="F14" i="1"/>
  <c r="M14" i="1" s="1"/>
  <c r="F15" i="1"/>
  <c r="K15" i="1" s="1"/>
  <c r="F16" i="1"/>
  <c r="I16" i="1" s="1"/>
  <c r="F17" i="1"/>
  <c r="I17" i="1" s="1"/>
  <c r="F7" i="1"/>
  <c r="M7" i="1" s="1"/>
  <c r="AA159" i="20" l="1"/>
  <c r="Z159" i="20"/>
  <c r="AA151" i="20"/>
  <c r="Z151" i="20"/>
  <c r="Z155" i="20"/>
  <c r="AA155" i="20"/>
  <c r="Z147" i="20"/>
  <c r="AA147" i="20"/>
  <c r="Z143" i="20"/>
  <c r="AA143" i="20"/>
  <c r="Z163" i="20"/>
  <c r="AA163" i="20"/>
  <c r="N23" i="10"/>
  <c r="AF22" i="23"/>
  <c r="AP22" i="23"/>
  <c r="L22" i="23"/>
  <c r="B22" i="23"/>
  <c r="AF21" i="23"/>
  <c r="B21" i="23"/>
  <c r="L21" i="23"/>
  <c r="AP21" i="23"/>
  <c r="L20" i="23"/>
  <c r="B20" i="23"/>
  <c r="AP20" i="23"/>
  <c r="AF20" i="23"/>
  <c r="L24" i="23"/>
  <c r="AF24" i="23"/>
  <c r="AP24" i="23"/>
  <c r="B23" i="23"/>
  <c r="AP23" i="23"/>
  <c r="AF23" i="23"/>
  <c r="L23" i="23"/>
  <c r="M15" i="1"/>
  <c r="K13" i="1"/>
  <c r="L13" i="1"/>
  <c r="I32" i="1"/>
  <c r="L14" i="1"/>
  <c r="M12" i="1"/>
  <c r="M32" i="1"/>
  <c r="L37" i="1"/>
  <c r="J37" i="1"/>
  <c r="L9" i="1"/>
  <c r="J29" i="1"/>
  <c r="K37" i="1"/>
  <c r="I7" i="1"/>
  <c r="K29" i="1"/>
  <c r="J15" i="1"/>
  <c r="M13" i="1"/>
  <c r="L29" i="1"/>
  <c r="O62" i="4"/>
  <c r="O60" i="4"/>
  <c r="O54" i="4"/>
  <c r="N54" i="5"/>
  <c r="L18" i="53"/>
  <c r="AB58" i="20"/>
  <c r="AB50" i="20"/>
  <c r="AB42" i="20"/>
  <c r="AB34" i="20"/>
  <c r="Z36" i="20"/>
  <c r="Z44" i="20"/>
  <c r="Z52" i="20"/>
  <c r="Z60" i="20"/>
  <c r="L10" i="1"/>
  <c r="I10" i="1"/>
  <c r="L8" i="1"/>
  <c r="Q14" i="12"/>
  <c r="I28" i="1"/>
  <c r="O61" i="4"/>
  <c r="AB60" i="20"/>
  <c r="AB52" i="20"/>
  <c r="AB44" i="20"/>
  <c r="AB36" i="20"/>
  <c r="Z38" i="20"/>
  <c r="Z46" i="20"/>
  <c r="Z54" i="20"/>
  <c r="M10" i="1"/>
  <c r="L33" i="1"/>
  <c r="L17" i="1"/>
  <c r="J13" i="1"/>
  <c r="M8" i="1"/>
  <c r="J35" i="1"/>
  <c r="J17" i="1"/>
  <c r="J8" i="1"/>
  <c r="J31" i="1"/>
  <c r="L35" i="1"/>
  <c r="L15" i="1"/>
  <c r="L12" i="1"/>
  <c r="M17" i="1"/>
  <c r="L31" i="1"/>
  <c r="I36" i="1"/>
  <c r="N62" i="5"/>
  <c r="AB54" i="20"/>
  <c r="AB46" i="20"/>
  <c r="AB38" i="20"/>
  <c r="Z40" i="20"/>
  <c r="Z48" i="20"/>
  <c r="Z56" i="20"/>
  <c r="O63" i="4"/>
  <c r="J10" i="1"/>
  <c r="M28" i="1"/>
  <c r="J33" i="1"/>
  <c r="AB56" i="20"/>
  <c r="AB48" i="20"/>
  <c r="AB40" i="20"/>
  <c r="Z34" i="20"/>
  <c r="Z42" i="20"/>
  <c r="Z50" i="20"/>
  <c r="Z58" i="20"/>
  <c r="L17" i="53"/>
  <c r="L22" i="10"/>
  <c r="AF87" i="20"/>
  <c r="L24" i="53"/>
  <c r="L20" i="53"/>
  <c r="AF85" i="20"/>
  <c r="L22" i="53"/>
  <c r="AF84" i="20"/>
  <c r="L21" i="53"/>
  <c r="T34" i="20"/>
  <c r="S33" i="20"/>
  <c r="U33" i="20" s="1"/>
  <c r="L7" i="1"/>
  <c r="K17" i="1"/>
  <c r="K16" i="1"/>
  <c r="K14" i="1"/>
  <c r="K12" i="1"/>
  <c r="K11" i="1"/>
  <c r="K9" i="1"/>
  <c r="K8" i="1"/>
  <c r="M16" i="1"/>
  <c r="M9" i="1"/>
  <c r="K27" i="1"/>
  <c r="J28" i="1"/>
  <c r="I29" i="1"/>
  <c r="L30" i="1"/>
  <c r="K31" i="1"/>
  <c r="J32" i="1"/>
  <c r="I33" i="1"/>
  <c r="L34" i="1"/>
  <c r="K35" i="1"/>
  <c r="J36" i="1"/>
  <c r="I37" i="1"/>
  <c r="AC14" i="12"/>
  <c r="AD48" i="10"/>
  <c r="AD44" i="10"/>
  <c r="AD40" i="10"/>
  <c r="AD36" i="10"/>
  <c r="AD32" i="10"/>
  <c r="AD28" i="10"/>
  <c r="AD24" i="10"/>
  <c r="AE33" i="20"/>
  <c r="AB59" i="20"/>
  <c r="AB55" i="20"/>
  <c r="AB51" i="20"/>
  <c r="AB47" i="20"/>
  <c r="AB43" i="20"/>
  <c r="AB39" i="20"/>
  <c r="AB35" i="20"/>
  <c r="Z33" i="20"/>
  <c r="Z37" i="20"/>
  <c r="Z41" i="20"/>
  <c r="Z45" i="20"/>
  <c r="Z49" i="20"/>
  <c r="Z53" i="20"/>
  <c r="Z57" i="20"/>
  <c r="Z61" i="20"/>
  <c r="C24" i="10"/>
  <c r="N24" i="10" s="1"/>
  <c r="AN20" i="14"/>
  <c r="L16" i="1"/>
  <c r="K30" i="1"/>
  <c r="K34" i="1"/>
  <c r="AD45" i="10"/>
  <c r="AD37" i="10"/>
  <c r="AD33" i="10"/>
  <c r="J11" i="1"/>
  <c r="K28" i="1"/>
  <c r="I30" i="1"/>
  <c r="K32" i="1"/>
  <c r="I34" i="1"/>
  <c r="AD47" i="10"/>
  <c r="AD39" i="10"/>
  <c r="AD31" i="10"/>
  <c r="AE34" i="20"/>
  <c r="AF86" i="20"/>
  <c r="L23" i="53"/>
  <c r="L16" i="53"/>
  <c r="AQ16" i="53"/>
  <c r="AS16" i="53" s="1"/>
  <c r="AG16" i="53"/>
  <c r="AI16" i="53" s="1"/>
  <c r="M16" i="53"/>
  <c r="S19" i="10"/>
  <c r="AF89" i="20"/>
  <c r="L26" i="53"/>
  <c r="AF91" i="20"/>
  <c r="L28" i="53"/>
  <c r="L19" i="53"/>
  <c r="Z22" i="14"/>
  <c r="Y21" i="14"/>
  <c r="AL21" i="14" s="1"/>
  <c r="AF90" i="20"/>
  <c r="L27" i="53"/>
  <c r="L11" i="1"/>
  <c r="J27" i="1"/>
  <c r="K24" i="55"/>
  <c r="B3" i="40" s="1"/>
  <c r="AO23" i="55"/>
  <c r="AF2" i="40" s="1"/>
  <c r="AB23" i="55"/>
  <c r="S2" i="40" s="1"/>
  <c r="AA28" i="55"/>
  <c r="R7" i="40" s="1"/>
  <c r="L28" i="55"/>
  <c r="C7" i="40" s="1"/>
  <c r="X25" i="55"/>
  <c r="O4" i="40" s="1"/>
  <c r="Q28" i="55"/>
  <c r="H7" i="40" s="1"/>
  <c r="I25" i="55"/>
  <c r="AU27" i="55"/>
  <c r="AL6" i="40" s="1"/>
  <c r="L27" i="55"/>
  <c r="C6" i="40" s="1"/>
  <c r="AP26" i="55"/>
  <c r="AG5" i="40" s="1"/>
  <c r="AC26" i="55"/>
  <c r="T5" i="40" s="1"/>
  <c r="AA25" i="55"/>
  <c r="R4" i="40" s="1"/>
  <c r="I24" i="55"/>
  <c r="AU26" i="55"/>
  <c r="AL5" i="40" s="1"/>
  <c r="AM23" i="55"/>
  <c r="AD2" i="40" s="1"/>
  <c r="AF26" i="55"/>
  <c r="W5" i="40" s="1"/>
  <c r="H23" i="55"/>
  <c r="AT25" i="55"/>
  <c r="AK4" i="40" s="1"/>
  <c r="AM28" i="55"/>
  <c r="AD7" i="40" s="1"/>
  <c r="AE25" i="55"/>
  <c r="V4" i="40" s="1"/>
  <c r="X28" i="55"/>
  <c r="O7" i="40" s="1"/>
  <c r="R25" i="55"/>
  <c r="I4" i="40" s="1"/>
  <c r="K28" i="55"/>
  <c r="B7" i="40" s="1"/>
  <c r="C25" i="55"/>
  <c r="AO27" i="55"/>
  <c r="AF6" i="40" s="1"/>
  <c r="AP23" i="55"/>
  <c r="AG2" i="40" s="1"/>
  <c r="P25" i="55"/>
  <c r="G4" i="40" s="1"/>
  <c r="AI26" i="55"/>
  <c r="Z5" i="40" s="1"/>
  <c r="I28" i="55"/>
  <c r="AA23" i="55"/>
  <c r="R2" i="40" s="1"/>
  <c r="AT24" i="55"/>
  <c r="AK3" i="40" s="1"/>
  <c r="T26" i="55"/>
  <c r="K5" i="40" s="1"/>
  <c r="AM27" i="55"/>
  <c r="AD6" i="40" s="1"/>
  <c r="X23" i="55"/>
  <c r="O2" i="40" s="1"/>
  <c r="I23" i="55"/>
  <c r="AN28" i="55"/>
  <c r="AE7" i="40" s="1"/>
  <c r="M23" i="55"/>
  <c r="D2" i="40" s="1"/>
  <c r="AR28" i="55"/>
  <c r="AI7" i="40" s="1"/>
  <c r="AN25" i="55"/>
  <c r="AE4" i="40" s="1"/>
  <c r="AG28" i="55"/>
  <c r="X7" i="40" s="1"/>
  <c r="Y25" i="55"/>
  <c r="P4" i="40" s="1"/>
  <c r="R28" i="55"/>
  <c r="I7" i="40" s="1"/>
  <c r="AR27" i="55"/>
  <c r="AI6" i="40" s="1"/>
  <c r="AC27" i="55"/>
  <c r="T6" i="40" s="1"/>
  <c r="P27" i="55"/>
  <c r="G6" i="40" s="1"/>
  <c r="AG27" i="55"/>
  <c r="X6" i="40" s="1"/>
  <c r="L25" i="55"/>
  <c r="C4" i="40" s="1"/>
  <c r="E28" i="55"/>
  <c r="AP24" i="55"/>
  <c r="AG3" i="40" s="1"/>
  <c r="AI27" i="55"/>
  <c r="Z6" i="40" s="1"/>
  <c r="AI24" i="55"/>
  <c r="Z3" i="40" s="1"/>
  <c r="AB27" i="55"/>
  <c r="S6" i="40" s="1"/>
  <c r="T24" i="55"/>
  <c r="K3" i="40" s="1"/>
  <c r="M27" i="55"/>
  <c r="D6" i="40" s="1"/>
  <c r="G24" i="55"/>
  <c r="AS26" i="55"/>
  <c r="AJ5" i="40" s="1"/>
  <c r="AK23" i="55"/>
  <c r="AB2" i="40" s="1"/>
  <c r="AD26" i="55"/>
  <c r="U5" i="40" s="1"/>
  <c r="N23" i="55"/>
  <c r="E2" i="40" s="1"/>
  <c r="AG24" i="55"/>
  <c r="X3" i="40" s="1"/>
  <c r="G26" i="55"/>
  <c r="Z27" i="55"/>
  <c r="Q6" i="40" s="1"/>
  <c r="AS28" i="55"/>
  <c r="AJ7" i="40" s="1"/>
  <c r="R24" i="55"/>
  <c r="I3" i="40" s="1"/>
  <c r="AK25" i="55"/>
  <c r="AB4" i="40" s="1"/>
  <c r="K27" i="55"/>
  <c r="B6" i="40" s="1"/>
  <c r="AD28" i="55"/>
  <c r="U7" i="40" s="1"/>
  <c r="AD25" i="55"/>
  <c r="U4" i="40" s="1"/>
  <c r="O25" i="55"/>
  <c r="F4" i="40" s="1"/>
  <c r="O24" i="55"/>
  <c r="F3" i="40" s="1"/>
  <c r="AS23" i="55"/>
  <c r="AJ2" i="40" s="1"/>
  <c r="R23" i="55"/>
  <c r="I2" i="40" s="1"/>
  <c r="K26" i="55"/>
  <c r="B5" i="40" s="1"/>
  <c r="C23" i="55"/>
  <c r="AO25" i="55"/>
  <c r="AF4" i="40" s="1"/>
  <c r="AH28" i="55"/>
  <c r="Y7" i="40" s="1"/>
  <c r="AE28" i="55"/>
  <c r="V7" i="40" s="1"/>
  <c r="P28" i="55"/>
  <c r="G7" i="40" s="1"/>
  <c r="C28" i="55"/>
  <c r="AT26" i="55"/>
  <c r="AK5" i="40" s="1"/>
  <c r="AO24" i="55"/>
  <c r="AF3" i="40" s="1"/>
  <c r="AH27" i="55"/>
  <c r="Y6" i="40" s="1"/>
  <c r="Z24" i="55"/>
  <c r="Q3" i="40" s="1"/>
  <c r="S27" i="55"/>
  <c r="J6" i="40" s="1"/>
  <c r="AN23" i="55"/>
  <c r="AE2" i="40" s="1"/>
  <c r="AG26" i="55"/>
  <c r="X5" i="40" s="1"/>
  <c r="Y23" i="55"/>
  <c r="P2" i="40" s="1"/>
  <c r="R26" i="55"/>
  <c r="I5" i="40" s="1"/>
  <c r="L23" i="55"/>
  <c r="C2" i="40" s="1"/>
  <c r="E26" i="55"/>
  <c r="AQ28" i="55"/>
  <c r="AH7" i="40" s="1"/>
  <c r="AI25" i="55"/>
  <c r="Z4" i="40" s="1"/>
  <c r="AB28" i="55"/>
  <c r="S7" i="40" s="1"/>
  <c r="M24" i="55"/>
  <c r="D3" i="40" s="1"/>
  <c r="AF25" i="55"/>
  <c r="W4" i="40" s="1"/>
  <c r="F27" i="55"/>
  <c r="Y28" i="55"/>
  <c r="P7" i="40" s="1"/>
  <c r="AQ23" i="55"/>
  <c r="AH2" i="40" s="1"/>
  <c r="Q25" i="55"/>
  <c r="H4" i="40" s="1"/>
  <c r="AJ26" i="55"/>
  <c r="AA5" i="40" s="1"/>
  <c r="J28" i="55"/>
  <c r="AQ24" i="55"/>
  <c r="AH3" i="40" s="1"/>
  <c r="AB24" i="55"/>
  <c r="S3" i="40" s="1"/>
  <c r="AU24" i="55"/>
  <c r="AL3" i="40" s="1"/>
  <c r="AF24" i="55"/>
  <c r="W3" i="40" s="1"/>
  <c r="AH23" i="55"/>
  <c r="Y2" i="40" s="1"/>
  <c r="AA26" i="55"/>
  <c r="R5" i="40" s="1"/>
  <c r="S23" i="55"/>
  <c r="J2" i="40" s="1"/>
  <c r="L26" i="55"/>
  <c r="C5" i="40" s="1"/>
  <c r="AF23" i="55"/>
  <c r="W2" i="40" s="1"/>
  <c r="Q23" i="55"/>
  <c r="H2" i="40" s="1"/>
  <c r="D23" i="55"/>
  <c r="AI28" i="55"/>
  <c r="Z7" i="40" s="1"/>
  <c r="F23" i="55"/>
  <c r="AR25" i="55"/>
  <c r="AI4" i="40" s="1"/>
  <c r="AK28" i="55"/>
  <c r="AB7" i="40" s="1"/>
  <c r="AC25" i="55"/>
  <c r="T4" i="40" s="1"/>
  <c r="V28" i="55"/>
  <c r="M7" i="40" s="1"/>
  <c r="V25" i="55"/>
  <c r="M4" i="40" s="1"/>
  <c r="O28" i="55"/>
  <c r="F7" i="40" s="1"/>
  <c r="G25" i="55"/>
  <c r="AS27" i="55"/>
  <c r="AJ6" i="40" s="1"/>
  <c r="AM24" i="55"/>
  <c r="AD3" i="40" s="1"/>
  <c r="AF27" i="55"/>
  <c r="W6" i="40" s="1"/>
  <c r="X24" i="55"/>
  <c r="O3" i="40" s="1"/>
  <c r="Q27" i="55"/>
  <c r="H6" i="40" s="1"/>
  <c r="AD23" i="55"/>
  <c r="U2" i="40" s="1"/>
  <c r="D25" i="55"/>
  <c r="W26" i="55"/>
  <c r="N5" i="40" s="1"/>
  <c r="AP27" i="55"/>
  <c r="AG6" i="40" s="1"/>
  <c r="O23" i="55"/>
  <c r="F2" i="40" s="1"/>
  <c r="AH24" i="55"/>
  <c r="Y3" i="40" s="1"/>
  <c r="H26" i="55"/>
  <c r="AA27" i="55"/>
  <c r="R6" i="40" s="1"/>
  <c r="AT28" i="55"/>
  <c r="AK7" i="40" s="1"/>
  <c r="D27" i="55"/>
  <c r="AH25" i="55"/>
  <c r="Y4" i="40" s="1"/>
  <c r="E24" i="55"/>
  <c r="AI23" i="55"/>
  <c r="Z2" i="40" s="1"/>
  <c r="S24" i="55"/>
  <c r="J3" i="40" s="1"/>
  <c r="AJ23" i="55"/>
  <c r="AA2" i="40" s="1"/>
  <c r="T28" i="55"/>
  <c r="K7" i="40" s="1"/>
  <c r="U28" i="55"/>
  <c r="L7" i="40" s="1"/>
  <c r="F28" i="55"/>
  <c r="T27" i="55"/>
  <c r="K6" i="40" s="1"/>
  <c r="E27" i="55"/>
  <c r="AK26" i="55"/>
  <c r="AB5" i="40" s="1"/>
  <c r="V26" i="55"/>
  <c r="M5" i="40" s="1"/>
  <c r="AC24" i="55"/>
  <c r="T3" i="40" s="1"/>
  <c r="V27" i="55"/>
  <c r="M6" i="40" s="1"/>
  <c r="N24" i="55"/>
  <c r="E3" i="40" s="1"/>
  <c r="G27" i="55"/>
  <c r="Q26" i="55"/>
  <c r="H5" i="40" s="1"/>
  <c r="U26" i="55"/>
  <c r="L5" i="40" s="1"/>
  <c r="U24" i="55"/>
  <c r="L3" i="40" s="1"/>
  <c r="F24" i="55"/>
  <c r="F25" i="55"/>
  <c r="W24" i="55"/>
  <c r="N3" i="40" s="1"/>
  <c r="AL23" i="55"/>
  <c r="AC2" i="40" s="1"/>
  <c r="W23" i="55"/>
  <c r="N2" i="40" s="1"/>
  <c r="P23" i="55"/>
  <c r="G2" i="40" s="1"/>
  <c r="AU28" i="55"/>
  <c r="AL7" i="40" s="1"/>
  <c r="AF28" i="55"/>
  <c r="W7" i="40" s="1"/>
  <c r="S28" i="55"/>
  <c r="J7" i="40" s="1"/>
  <c r="D28" i="55"/>
  <c r="T25" i="55"/>
  <c r="K4" i="40" s="1"/>
  <c r="M28" i="55"/>
  <c r="D7" i="40" s="1"/>
  <c r="E25" i="55"/>
  <c r="AQ27" i="55"/>
  <c r="AH6" i="40" s="1"/>
  <c r="W28" i="55"/>
  <c r="N7" i="40" s="1"/>
  <c r="H27" i="55"/>
  <c r="AK24" i="55"/>
  <c r="AB3" i="40" s="1"/>
  <c r="V24" i="55"/>
  <c r="M3" i="40" s="1"/>
  <c r="AL25" i="55"/>
  <c r="AC4" i="40" s="1"/>
  <c r="J25" i="55"/>
  <c r="V23" i="55"/>
  <c r="M2" i="40" s="1"/>
  <c r="G23" i="55"/>
  <c r="AL28" i="55"/>
  <c r="AC7" i="40" s="1"/>
  <c r="G28" i="55"/>
  <c r="AK27" i="55"/>
  <c r="AB6" i="40" s="1"/>
  <c r="X27" i="55"/>
  <c r="O6" i="40" s="1"/>
  <c r="I27" i="55"/>
  <c r="AS24" i="55"/>
  <c r="AJ3" i="40" s="1"/>
  <c r="AL27" i="55"/>
  <c r="AC6" i="40" s="1"/>
  <c r="AD24" i="55"/>
  <c r="U3" i="40" s="1"/>
  <c r="W27" i="55"/>
  <c r="N6" i="40" s="1"/>
  <c r="AJ27" i="55"/>
  <c r="AA6" i="40" s="1"/>
  <c r="AN27" i="55"/>
  <c r="AE6" i="40" s="1"/>
  <c r="H25" i="55"/>
  <c r="AL24" i="55"/>
  <c r="AC3" i="40" s="1"/>
  <c r="Y26" i="55"/>
  <c r="P5" i="40" s="1"/>
  <c r="AP25" i="55"/>
  <c r="AG4" i="40" s="1"/>
  <c r="Y24" i="55"/>
  <c r="P3" i="40" s="1"/>
  <c r="J24" i="55"/>
  <c r="C24" i="55"/>
  <c r="AG23" i="55"/>
  <c r="X2" i="40" s="1"/>
  <c r="T23" i="55"/>
  <c r="K2" i="40" s="1"/>
  <c r="E23" i="55"/>
  <c r="AJ28" i="55"/>
  <c r="AA7" i="40" s="1"/>
  <c r="AJ25" i="55"/>
  <c r="AA4" i="40" s="1"/>
  <c r="AC28" i="55"/>
  <c r="T7" i="40" s="1"/>
  <c r="U25" i="55"/>
  <c r="L4" i="40" s="1"/>
  <c r="N28" i="55"/>
  <c r="E7" i="40" s="1"/>
  <c r="AH26" i="55"/>
  <c r="Y5" i="40" s="1"/>
  <c r="AQ26" i="55"/>
  <c r="AH5" i="40" s="1"/>
  <c r="D24" i="55"/>
  <c r="AB25" i="55"/>
  <c r="S4" i="40" s="1"/>
  <c r="AA24" i="55"/>
  <c r="R3" i="40" s="1"/>
  <c r="AR23" i="55"/>
  <c r="AI2" i="40" s="1"/>
  <c r="J23" i="55"/>
  <c r="AO28" i="55"/>
  <c r="AF7" i="40" s="1"/>
  <c r="Z28" i="55"/>
  <c r="Q7" i="40" s="1"/>
  <c r="F26" i="55"/>
  <c r="AR26" i="55"/>
  <c r="AI5" i="40" s="1"/>
  <c r="AN24" i="55"/>
  <c r="AE3" i="40" s="1"/>
  <c r="P26" i="55"/>
  <c r="G5" i="40" s="1"/>
  <c r="AM25" i="55"/>
  <c r="AD4" i="40" s="1"/>
  <c r="K25" i="55"/>
  <c r="B4" i="40" s="1"/>
  <c r="AM26" i="55"/>
  <c r="AD5" i="40" s="1"/>
  <c r="X26" i="55"/>
  <c r="O5" i="40" s="1"/>
  <c r="O27" i="55"/>
  <c r="F6" i="40" s="1"/>
  <c r="H24" i="55"/>
  <c r="AR24" i="55"/>
  <c r="AI3" i="40" s="1"/>
  <c r="S26" i="55"/>
  <c r="J5" i="40" s="1"/>
  <c r="U27" i="55"/>
  <c r="L6" i="40" s="1"/>
  <c r="J26" i="55"/>
  <c r="AO26" i="55"/>
  <c r="AF5" i="40" s="1"/>
  <c r="Q24" i="55"/>
  <c r="H3" i="40" s="1"/>
  <c r="H28" i="55"/>
  <c r="AD27" i="55"/>
  <c r="U6" i="40" s="1"/>
  <c r="W25" i="55"/>
  <c r="N4" i="40" s="1"/>
  <c r="O26" i="55"/>
  <c r="F5" i="40" s="1"/>
  <c r="N25" i="55"/>
  <c r="E4" i="40" s="1"/>
  <c r="AE24" i="55"/>
  <c r="V3" i="40" s="1"/>
  <c r="Z23" i="55"/>
  <c r="Q2" i="40" s="1"/>
  <c r="K23" i="55"/>
  <c r="B2" i="40" s="1"/>
  <c r="AP28" i="55"/>
  <c r="AG7" i="40" s="1"/>
  <c r="Y27" i="55"/>
  <c r="P6" i="40" s="1"/>
  <c r="AE27" i="55"/>
  <c r="V6" i="40" s="1"/>
  <c r="N26" i="55"/>
  <c r="E5" i="40" s="1"/>
  <c r="C27" i="55"/>
  <c r="Z26" i="55"/>
  <c r="Q5" i="40" s="1"/>
  <c r="AQ25" i="55"/>
  <c r="AH4" i="40" s="1"/>
  <c r="J27" i="55"/>
  <c r="AN26" i="55"/>
  <c r="AE5" i="40" s="1"/>
  <c r="S25" i="55"/>
  <c r="J4" i="40" s="1"/>
  <c r="AB26" i="55"/>
  <c r="S5" i="40" s="1"/>
  <c r="U23" i="55"/>
  <c r="L2" i="40" s="1"/>
  <c r="M25" i="55"/>
  <c r="D4" i="40" s="1"/>
  <c r="L24" i="55"/>
  <c r="C3" i="40" s="1"/>
  <c r="AC23" i="55"/>
  <c r="T2" i="40" s="1"/>
  <c r="C26" i="55"/>
  <c r="AG25" i="55"/>
  <c r="X4" i="40" s="1"/>
  <c r="AU25" i="55"/>
  <c r="AL4" i="40" s="1"/>
  <c r="N27" i="55"/>
  <c r="E6" i="40" s="1"/>
  <c r="AJ24" i="55"/>
  <c r="AA3" i="40" s="1"/>
  <c r="AE26" i="55"/>
  <c r="V5" i="40" s="1"/>
  <c r="I26" i="55"/>
  <c r="Z25" i="55"/>
  <c r="Q4" i="40" s="1"/>
  <c r="AT23" i="55"/>
  <c r="AK2" i="40" s="1"/>
  <c r="AE23" i="55"/>
  <c r="V2" i="40" s="1"/>
  <c r="AL26" i="55"/>
  <c r="AC5" i="40" s="1"/>
  <c r="AS25" i="55"/>
  <c r="AJ4" i="40" s="1"/>
  <c r="P24" i="55"/>
  <c r="G3" i="40" s="1"/>
  <c r="D26" i="55"/>
  <c r="AT27" i="55"/>
  <c r="AK6" i="40" s="1"/>
  <c r="R27" i="55"/>
  <c r="I6" i="40" s="1"/>
  <c r="M26" i="55"/>
  <c r="D5" i="40" s="1"/>
  <c r="AU23" i="55"/>
  <c r="AL2" i="40" s="1"/>
  <c r="AA55" i="20"/>
  <c r="AA47" i="20"/>
  <c r="AD49" i="10"/>
  <c r="AD41" i="10"/>
  <c r="AD29" i="10"/>
  <c r="AD25" i="10"/>
  <c r="K7" i="1"/>
  <c r="J16" i="1"/>
  <c r="J14" i="1"/>
  <c r="J9" i="1"/>
  <c r="L27" i="1"/>
  <c r="M30" i="1"/>
  <c r="M34" i="1"/>
  <c r="K36" i="1"/>
  <c r="Z54" i="12"/>
  <c r="AD51" i="10"/>
  <c r="AD43" i="10"/>
  <c r="AD35" i="10"/>
  <c r="J7" i="1"/>
  <c r="I14" i="1"/>
  <c r="I11" i="1"/>
  <c r="I27" i="1"/>
  <c r="I31" i="1"/>
  <c r="I35" i="1"/>
  <c r="BB54" i="12"/>
  <c r="AA60" i="20"/>
  <c r="AA44" i="20"/>
  <c r="AB33" i="20"/>
  <c r="AB61" i="20"/>
  <c r="AB57" i="20"/>
  <c r="AB53" i="20"/>
  <c r="AB49" i="20"/>
  <c r="AB45" i="20"/>
  <c r="AB41" i="20"/>
  <c r="AB37" i="20"/>
  <c r="Z35" i="20"/>
  <c r="Z39" i="20"/>
  <c r="Z43" i="20"/>
  <c r="Z47" i="20"/>
  <c r="Z51" i="20"/>
  <c r="Z55" i="20"/>
  <c r="Z59" i="20"/>
  <c r="AF88" i="20"/>
  <c r="L25" i="53"/>
  <c r="AF92" i="20"/>
  <c r="L29" i="53"/>
  <c r="J95" i="20"/>
  <c r="AF95" i="20"/>
  <c r="U96" i="20"/>
  <c r="C96" i="20"/>
  <c r="Y96" i="20" s="1"/>
  <c r="L33" i="53" s="1"/>
  <c r="AF4" i="23"/>
  <c r="AF5" i="23"/>
  <c r="D22" i="22"/>
  <c r="AP44" i="22"/>
  <c r="L21" i="10"/>
  <c r="D20" i="22"/>
  <c r="L19" i="10"/>
  <c r="L20" i="10"/>
  <c r="AF23" i="22"/>
  <c r="M5" i="22"/>
  <c r="O15" i="22"/>
  <c r="O5" i="22" s="1"/>
  <c r="L18" i="10"/>
  <c r="AF52" i="22"/>
  <c r="AF36" i="22"/>
  <c r="AH23" i="22"/>
  <c r="AR23" i="22"/>
  <c r="N23" i="22"/>
  <c r="D23" i="22"/>
  <c r="B40" i="22"/>
  <c r="AF32" i="22"/>
  <c r="J19" i="10"/>
  <c r="K18" i="10"/>
  <c r="L23" i="10"/>
  <c r="AO14" i="12"/>
  <c r="AT54" i="12"/>
  <c r="AP54" i="12"/>
  <c r="M14" i="12"/>
  <c r="Y14" i="12"/>
  <c r="AD54" i="12"/>
  <c r="I14" i="12"/>
  <c r="AK14" i="12"/>
  <c r="U14" i="12"/>
  <c r="AH54" i="12"/>
  <c r="AX54" i="12"/>
  <c r="E14" i="12"/>
  <c r="AG14" i="12"/>
  <c r="AV14" i="12"/>
  <c r="AL54" i="12"/>
  <c r="BP54" i="12"/>
  <c r="BH54" i="12"/>
  <c r="AZ54" i="12"/>
  <c r="AR54" i="12"/>
  <c r="AJ54" i="12"/>
  <c r="AB54" i="12"/>
  <c r="S14" i="12"/>
  <c r="AA14" i="12"/>
  <c r="AI14" i="12"/>
  <c r="AU14" i="12"/>
  <c r="K14" i="12"/>
  <c r="BO54" i="12"/>
  <c r="BK54" i="12"/>
  <c r="BC54" i="12"/>
  <c r="AU54" i="12"/>
  <c r="AM54" i="12"/>
  <c r="AE54" i="12"/>
  <c r="W54" i="12"/>
  <c r="T14" i="12"/>
  <c r="AB14" i="12"/>
  <c r="AF14" i="12"/>
  <c r="AN14" i="12"/>
  <c r="D14" i="12"/>
  <c r="H14" i="12"/>
  <c r="P14" i="12"/>
  <c r="BF54" i="12"/>
  <c r="BM54" i="12"/>
  <c r="BI54" i="12"/>
  <c r="BE54" i="12"/>
  <c r="BA54" i="12"/>
  <c r="AW54" i="12"/>
  <c r="AS54" i="12"/>
  <c r="AO54" i="12"/>
  <c r="AK54" i="12"/>
  <c r="AG54" i="12"/>
  <c r="AC54" i="12"/>
  <c r="Y54" i="12"/>
  <c r="R14" i="12"/>
  <c r="V14" i="12"/>
  <c r="Z14" i="12"/>
  <c r="AD14" i="12"/>
  <c r="AH14" i="12"/>
  <c r="AL14" i="12"/>
  <c r="AP14" i="12"/>
  <c r="AT14" i="12"/>
  <c r="F14" i="12"/>
  <c r="J14" i="12"/>
  <c r="N14" i="12"/>
  <c r="C14" i="12"/>
  <c r="BL54" i="12"/>
  <c r="BD54" i="12"/>
  <c r="AV54" i="12"/>
  <c r="AN54" i="12"/>
  <c r="AF54" i="12"/>
  <c r="X54" i="12"/>
  <c r="W14" i="12"/>
  <c r="AE14" i="12"/>
  <c r="AM14" i="12"/>
  <c r="AQ14" i="12"/>
  <c r="G14" i="12"/>
  <c r="O14" i="12"/>
  <c r="BG54" i="12"/>
  <c r="AY54" i="12"/>
  <c r="AQ54" i="12"/>
  <c r="AI54" i="12"/>
  <c r="AA54" i="12"/>
  <c r="X14" i="12"/>
  <c r="AJ14" i="12"/>
  <c r="AR14" i="12"/>
  <c r="L14" i="12"/>
  <c r="BN54" i="12"/>
  <c r="BJ54" i="12"/>
  <c r="AR17" i="12"/>
  <c r="AN17" i="12"/>
  <c r="AL17" i="12"/>
  <c r="AJ17" i="12"/>
  <c r="AH17" i="12"/>
  <c r="AF17" i="12"/>
  <c r="AD17" i="12"/>
  <c r="AB17" i="12"/>
  <c r="Z17" i="12"/>
  <c r="X17" i="12"/>
  <c r="V17" i="12"/>
  <c r="T17" i="12"/>
  <c r="R17" i="12"/>
  <c r="P17" i="12"/>
  <c r="AO17" i="12"/>
  <c r="AM17" i="12"/>
  <c r="AK17" i="12"/>
  <c r="AI17" i="12"/>
  <c r="AG17" i="12"/>
  <c r="AE17" i="12"/>
  <c r="AC17" i="12"/>
  <c r="AA17" i="12"/>
  <c r="Y17" i="12"/>
  <c r="W17" i="12"/>
  <c r="U17" i="12"/>
  <c r="S17" i="12"/>
  <c r="Q17" i="12"/>
  <c r="AT17" i="12"/>
  <c r="AS17" i="12"/>
  <c r="AQ17" i="12"/>
  <c r="AV17" i="12"/>
  <c r="C23" i="7" a="1"/>
  <c r="R23" i="7" s="1"/>
  <c r="P22" i="22"/>
  <c r="Q21" i="22"/>
  <c r="Q20" i="22"/>
  <c r="C23" i="27" a="1"/>
  <c r="Z23" i="27" s="1"/>
  <c r="Z23" i="26" s="1"/>
  <c r="Q2" i="45" s="1"/>
  <c r="AS12" i="22"/>
  <c r="AS13" i="22"/>
  <c r="AS11" i="22"/>
  <c r="AS10" i="22"/>
  <c r="AS14" i="22"/>
  <c r="O9" i="22"/>
  <c r="O4" i="22" s="1"/>
  <c r="M4" i="22"/>
  <c r="C11" i="22"/>
  <c r="B12" i="22"/>
  <c r="B11" i="22"/>
  <c r="B13" i="22"/>
  <c r="B14" i="22"/>
  <c r="B10" i="22"/>
  <c r="N10" i="22"/>
  <c r="N11" i="22"/>
  <c r="N12" i="22"/>
  <c r="N13" i="22"/>
  <c r="N14" i="22"/>
  <c r="AI13" i="22"/>
  <c r="AI12" i="22"/>
  <c r="AI11" i="22"/>
  <c r="AI10" i="22"/>
  <c r="AI14" i="22"/>
  <c r="AF28" i="22"/>
  <c r="AF24" i="20"/>
  <c r="J27" i="20"/>
  <c r="J24" i="20"/>
  <c r="J23" i="20"/>
  <c r="AF17" i="20"/>
  <c r="J17" i="20"/>
  <c r="AF23" i="20"/>
  <c r="AF27" i="20"/>
  <c r="J22" i="20"/>
  <c r="J26" i="20"/>
  <c r="J25" i="20"/>
  <c r="AF26" i="20"/>
  <c r="D12" i="22"/>
  <c r="E15" i="23"/>
  <c r="E5" i="23" s="1"/>
  <c r="E10" i="22"/>
  <c r="C10" i="22"/>
  <c r="C12" i="22"/>
  <c r="C13" i="22"/>
  <c r="E11" i="22"/>
  <c r="E12" i="22"/>
  <c r="D10" i="22"/>
  <c r="D14" i="22"/>
  <c r="D11" i="22"/>
  <c r="E14" i="22"/>
  <c r="O17" i="22"/>
  <c r="C23" i="27"/>
  <c r="C23" i="26" s="1"/>
  <c r="O26" i="27"/>
  <c r="O26" i="26" s="1"/>
  <c r="F5" i="45" s="1"/>
  <c r="AH28" i="27"/>
  <c r="AH28" i="26" s="1"/>
  <c r="Y7" i="45" s="1"/>
  <c r="E13" i="22"/>
  <c r="D13" i="22"/>
  <c r="X26" i="27"/>
  <c r="X26" i="26" s="1"/>
  <c r="O5" i="45" s="1"/>
  <c r="C14" i="22"/>
  <c r="AB24" i="7"/>
  <c r="E9" i="23"/>
  <c r="E4" i="23" s="1"/>
  <c r="AF27" i="7"/>
  <c r="AS11" i="23"/>
  <c r="AS13" i="23"/>
  <c r="AS12" i="23"/>
  <c r="AS14" i="23"/>
  <c r="AS10" i="23"/>
  <c r="AI10" i="23"/>
  <c r="AI11" i="23"/>
  <c r="AI13" i="23"/>
  <c r="AI12" i="23"/>
  <c r="AI14" i="23"/>
  <c r="AJ28" i="7"/>
  <c r="AP25" i="7"/>
  <c r="H27" i="7"/>
  <c r="T25" i="7"/>
  <c r="N23" i="7"/>
  <c r="AP28" i="7"/>
  <c r="Z28" i="7"/>
  <c r="AL27" i="7"/>
  <c r="V27" i="7"/>
  <c r="N27" i="7"/>
  <c r="F27" i="7"/>
  <c r="H26" i="7"/>
  <c r="AT23" i="7"/>
  <c r="AH23" i="7"/>
  <c r="L23" i="7"/>
  <c r="C24" i="7"/>
  <c r="AF28" i="7"/>
  <c r="AR27" i="7"/>
  <c r="AB27" i="7"/>
  <c r="T27" i="7"/>
  <c r="L27" i="7"/>
  <c r="Z26" i="7"/>
  <c r="AH24" i="7"/>
  <c r="V24" i="7"/>
  <c r="AR23" i="7"/>
  <c r="AD23" i="7"/>
  <c r="AT28" i="7"/>
  <c r="N28" i="7"/>
  <c r="F28" i="7"/>
  <c r="AH27" i="7"/>
  <c r="Z27" i="7"/>
  <c r="AT26" i="7"/>
  <c r="V25" i="7"/>
  <c r="J25" i="7"/>
  <c r="AF24" i="7"/>
  <c r="R24" i="7"/>
  <c r="X23" i="7"/>
  <c r="N26" i="7"/>
  <c r="AJ25" i="7"/>
  <c r="Z25" i="7"/>
  <c r="D25" i="7"/>
  <c r="P24" i="7"/>
  <c r="E23" i="7"/>
  <c r="J23" i="7"/>
  <c r="T23" i="7"/>
  <c r="Z23" i="7"/>
  <c r="AP23" i="7"/>
  <c r="X24" i="7"/>
  <c r="AD24" i="7"/>
  <c r="AN24" i="7"/>
  <c r="AT24" i="7"/>
  <c r="R25" i="7"/>
  <c r="AR25" i="7"/>
  <c r="F26" i="7"/>
  <c r="P26" i="7"/>
  <c r="V26" i="7"/>
  <c r="AL26" i="7"/>
  <c r="V23" i="7"/>
  <c r="AF23" i="7"/>
  <c r="AL23" i="7"/>
  <c r="D24" i="7"/>
  <c r="T24" i="7"/>
  <c r="AP24" i="7"/>
  <c r="H25" i="7"/>
  <c r="N25" i="7"/>
  <c r="X25" i="7"/>
  <c r="AN25" i="7"/>
  <c r="R26" i="7"/>
  <c r="AB26" i="7"/>
  <c r="AH26" i="7"/>
  <c r="AQ26" i="7"/>
  <c r="AU26" i="7"/>
  <c r="I27" i="7"/>
  <c r="K27" i="7"/>
  <c r="M27" i="7"/>
  <c r="O27" i="7"/>
  <c r="S27" i="7"/>
  <c r="Y27" i="7"/>
  <c r="AA27" i="7"/>
  <c r="AC27" i="7"/>
  <c r="AE27" i="7"/>
  <c r="AI27" i="7"/>
  <c r="AO27" i="7"/>
  <c r="AQ27" i="7"/>
  <c r="AS27" i="7"/>
  <c r="AU27" i="7"/>
  <c r="G28" i="7"/>
  <c r="M28" i="7"/>
  <c r="O28" i="7"/>
  <c r="Q28" i="7"/>
  <c r="S28" i="7"/>
  <c r="W28" i="7"/>
  <c r="AC28" i="7"/>
  <c r="AE28" i="7"/>
  <c r="AG28" i="7"/>
  <c r="AI28" i="7"/>
  <c r="AM28" i="7"/>
  <c r="AS28" i="7"/>
  <c r="AU28" i="7"/>
  <c r="C25" i="7"/>
  <c r="C27" i="7"/>
  <c r="AO26" i="7"/>
  <c r="AI26" i="7"/>
  <c r="AG26" i="7"/>
  <c r="AE26" i="7"/>
  <c r="AC26" i="7"/>
  <c r="Y26" i="7"/>
  <c r="S26" i="7"/>
  <c r="Q26" i="7"/>
  <c r="O26" i="7"/>
  <c r="M26" i="7"/>
  <c r="I26" i="7"/>
  <c r="AU25" i="7"/>
  <c r="AS25" i="7"/>
  <c r="AQ25" i="7"/>
  <c r="AO25" i="7"/>
  <c r="AK25" i="7"/>
  <c r="AE25" i="7"/>
  <c r="AC25" i="7"/>
  <c r="AA25" i="7"/>
  <c r="Y25" i="7"/>
  <c r="U25" i="7"/>
  <c r="O25" i="7"/>
  <c r="M25" i="7"/>
  <c r="K25" i="7"/>
  <c r="I25" i="7"/>
  <c r="E25" i="7"/>
  <c r="AQ24" i="7"/>
  <c r="AO24" i="7"/>
  <c r="AM24" i="7"/>
  <c r="AK24" i="7"/>
  <c r="AG24" i="7"/>
  <c r="AA24" i="7"/>
  <c r="Y24" i="7"/>
  <c r="W24" i="7"/>
  <c r="U24" i="7"/>
  <c r="Q24" i="7"/>
  <c r="K24" i="7"/>
  <c r="I24" i="7"/>
  <c r="G24" i="7"/>
  <c r="E24" i="7"/>
  <c r="AS23" i="7"/>
  <c r="AM23" i="7"/>
  <c r="AK23" i="7"/>
  <c r="AI23" i="7"/>
  <c r="AG23" i="7"/>
  <c r="AC23" i="7"/>
  <c r="W23" i="7"/>
  <c r="U23" i="7"/>
  <c r="S23" i="7"/>
  <c r="Q23" i="7"/>
  <c r="M23" i="7"/>
  <c r="G23" i="7"/>
  <c r="N12" i="12"/>
  <c r="N16" i="12" s="1"/>
  <c r="N15" i="12"/>
  <c r="J12" i="12"/>
  <c r="J16" i="12" s="1"/>
  <c r="J15" i="12"/>
  <c r="F12" i="12"/>
  <c r="F16" i="12" s="1"/>
  <c r="F15" i="12"/>
  <c r="O12" i="12"/>
  <c r="O16" i="12" s="1"/>
  <c r="O15" i="12"/>
  <c r="K12" i="12"/>
  <c r="K16" i="12" s="1"/>
  <c r="K15" i="12"/>
  <c r="G12" i="12"/>
  <c r="G16" i="12" s="1"/>
  <c r="G15" i="12"/>
  <c r="D12" i="12"/>
  <c r="D16" i="12" s="1"/>
  <c r="D15" i="12"/>
  <c r="C12" i="12"/>
  <c r="C16" i="12" s="1"/>
  <c r="C15" i="12"/>
  <c r="M12" i="12"/>
  <c r="M16" i="12" s="1"/>
  <c r="M15" i="12"/>
  <c r="I12" i="12"/>
  <c r="I16" i="12" s="1"/>
  <c r="I15" i="12"/>
  <c r="L12" i="12"/>
  <c r="L16" i="12" s="1"/>
  <c r="L15" i="12"/>
  <c r="H12" i="12"/>
  <c r="H16" i="12" s="1"/>
  <c r="H15" i="12"/>
  <c r="E12" i="12"/>
  <c r="E16" i="12" s="1"/>
  <c r="E15" i="12"/>
  <c r="O17" i="12"/>
  <c r="M17" i="12"/>
  <c r="K17" i="12"/>
  <c r="I17" i="12"/>
  <c r="G17" i="12"/>
  <c r="N17" i="12"/>
  <c r="L17" i="12"/>
  <c r="J17" i="12"/>
  <c r="H17" i="12"/>
  <c r="F17" i="12"/>
  <c r="D17" i="12"/>
  <c r="AF39" i="22" l="1"/>
  <c r="AA150" i="20"/>
  <c r="Z150" i="20"/>
  <c r="AF37" i="22"/>
  <c r="AA148" i="20"/>
  <c r="Z148" i="20"/>
  <c r="B46" i="22"/>
  <c r="AA157" i="20"/>
  <c r="Z157" i="20"/>
  <c r="B50" i="22"/>
  <c r="Z161" i="20"/>
  <c r="AA161" i="20"/>
  <c r="AF33" i="22"/>
  <c r="Z144" i="20"/>
  <c r="AA144" i="20"/>
  <c r="B35" i="22"/>
  <c r="AA146" i="20"/>
  <c r="Z146" i="20"/>
  <c r="Z137" i="20"/>
  <c r="AA137" i="20"/>
  <c r="B30" i="22"/>
  <c r="AA141" i="20"/>
  <c r="Z141" i="20"/>
  <c r="AF31" i="22"/>
  <c r="AA142" i="20"/>
  <c r="Z142" i="20"/>
  <c r="B49" i="22"/>
  <c r="Z160" i="20"/>
  <c r="AA160" i="20"/>
  <c r="B47" i="22"/>
  <c r="AA158" i="20"/>
  <c r="Z158" i="20"/>
  <c r="AF34" i="22"/>
  <c r="Z145" i="20"/>
  <c r="AA145" i="20"/>
  <c r="AA154" i="20"/>
  <c r="Z154" i="20"/>
  <c r="AF38" i="22"/>
  <c r="Z149" i="20"/>
  <c r="AA149" i="20"/>
  <c r="AA156" i="20"/>
  <c r="Z156" i="20"/>
  <c r="B53" i="22"/>
  <c r="AA164" i="20"/>
  <c r="Z164" i="20"/>
  <c r="Z138" i="20"/>
  <c r="AA138" i="20"/>
  <c r="AF41" i="22"/>
  <c r="Z152" i="20"/>
  <c r="AA152" i="20"/>
  <c r="AF51" i="22"/>
  <c r="Z162" i="20"/>
  <c r="AA162" i="20"/>
  <c r="Z153" i="20"/>
  <c r="AA153" i="20"/>
  <c r="AG20" i="23"/>
  <c r="AI20" i="23" s="1"/>
  <c r="AQ20" i="23"/>
  <c r="AS20" i="23" s="1"/>
  <c r="L24" i="10"/>
  <c r="B26" i="23" s="1"/>
  <c r="O23" i="7"/>
  <c r="AE23" i="7"/>
  <c r="AU23" i="7"/>
  <c r="S24" i="7"/>
  <c r="AI24" i="7"/>
  <c r="G25" i="7"/>
  <c r="W25" i="7"/>
  <c r="AM25" i="7"/>
  <c r="K26" i="7"/>
  <c r="AA26" i="7"/>
  <c r="C23" i="7"/>
  <c r="AK28" i="7"/>
  <c r="U28" i="7"/>
  <c r="E28" i="7"/>
  <c r="AG27" i="7"/>
  <c r="Q27" i="7"/>
  <c r="AS26" i="7"/>
  <c r="AD25" i="7"/>
  <c r="J24" i="7"/>
  <c r="AF26" i="7"/>
  <c r="L25" i="7"/>
  <c r="AJ23" i="7"/>
  <c r="AL24" i="7"/>
  <c r="AN23" i="7"/>
  <c r="R27" i="7"/>
  <c r="H23" i="7"/>
  <c r="AN26" i="7"/>
  <c r="AN28" i="7"/>
  <c r="AD26" i="7"/>
  <c r="AH28" i="7"/>
  <c r="D28" i="7"/>
  <c r="I23" i="7"/>
  <c r="Y23" i="7"/>
  <c r="AO23" i="7"/>
  <c r="M24" i="7"/>
  <c r="AC24" i="7"/>
  <c r="AS24" i="7"/>
  <c r="Q25" i="7"/>
  <c r="AG25" i="7"/>
  <c r="E26" i="7"/>
  <c r="U26" i="7"/>
  <c r="AK26" i="7"/>
  <c r="AQ28" i="7"/>
  <c r="AA28" i="7"/>
  <c r="K28" i="7"/>
  <c r="AM27" i="7"/>
  <c r="W27" i="7"/>
  <c r="G27" i="7"/>
  <c r="L26" i="7"/>
  <c r="AJ24" i="7"/>
  <c r="P23" i="7"/>
  <c r="AH25" i="7"/>
  <c r="N24" i="7"/>
  <c r="AB23" i="7"/>
  <c r="X26" i="7"/>
  <c r="T26" i="7"/>
  <c r="V28" i="7"/>
  <c r="AF25" i="7"/>
  <c r="H28" i="7"/>
  <c r="AR24" i="7"/>
  <c r="AT27" i="7"/>
  <c r="AB28" i="7"/>
  <c r="K23" i="7"/>
  <c r="AA23" i="7"/>
  <c r="AQ23" i="7"/>
  <c r="O24" i="7"/>
  <c r="AE24" i="7"/>
  <c r="AU24" i="7"/>
  <c r="S25" i="7"/>
  <c r="AI25" i="7"/>
  <c r="G26" i="7"/>
  <c r="W26" i="7"/>
  <c r="AM26" i="7"/>
  <c r="AO28" i="7"/>
  <c r="Y28" i="7"/>
  <c r="I28" i="7"/>
  <c r="AK27" i="7"/>
  <c r="U27" i="7"/>
  <c r="E27" i="7"/>
  <c r="AT25" i="7"/>
  <c r="Z24" i="7"/>
  <c r="F23" i="7"/>
  <c r="AB25" i="7"/>
  <c r="H24" i="7"/>
  <c r="F24" i="7"/>
  <c r="D23" i="7"/>
  <c r="AJ26" i="7"/>
  <c r="AL28" i="7"/>
  <c r="D26" i="7"/>
  <c r="P28" i="7"/>
  <c r="AL25" i="7"/>
  <c r="J28" i="7"/>
  <c r="L24" i="7"/>
  <c r="AR26" i="7"/>
  <c r="AR25" i="27"/>
  <c r="AR25" i="26" s="1"/>
  <c r="AI4" i="45" s="1"/>
  <c r="AD33" i="20"/>
  <c r="Z23" i="14"/>
  <c r="Y22" i="14"/>
  <c r="AL22" i="14" s="1"/>
  <c r="X23" i="27"/>
  <c r="X23" i="26" s="1"/>
  <c r="O2" i="45" s="1"/>
  <c r="AN21" i="14"/>
  <c r="C25" i="10"/>
  <c r="AG17" i="53"/>
  <c r="AI17" i="53" s="1"/>
  <c r="AQ17" i="53"/>
  <c r="AS17" i="53" s="1"/>
  <c r="M17" i="53"/>
  <c r="S20" i="10"/>
  <c r="T20" i="10" s="1"/>
  <c r="R20" i="10" s="1"/>
  <c r="Q20" i="10" s="1"/>
  <c r="T35" i="20"/>
  <c r="S34" i="20"/>
  <c r="B25" i="23"/>
  <c r="AF96" i="20"/>
  <c r="J96" i="20"/>
  <c r="U97" i="20"/>
  <c r="C97" i="20"/>
  <c r="Y97" i="20" s="1"/>
  <c r="L34" i="53" s="1"/>
  <c r="B38" i="22"/>
  <c r="T19" i="10"/>
  <c r="R19" i="10" s="1"/>
  <c r="Q19" i="10" s="1"/>
  <c r="T18" i="10"/>
  <c r="R18" i="10" s="1"/>
  <c r="Q18" i="10" s="1"/>
  <c r="B39" i="22"/>
  <c r="B34" i="22"/>
  <c r="AR20" i="22"/>
  <c r="N22" i="22"/>
  <c r="AP20" i="22"/>
  <c r="AF40" i="22"/>
  <c r="I18" i="10"/>
  <c r="H18" i="10" s="1"/>
  <c r="AF20" i="22"/>
  <c r="B51" i="22"/>
  <c r="B28" i="22"/>
  <c r="B33" i="22"/>
  <c r="AF50" i="22"/>
  <c r="AH20" i="22"/>
  <c r="AR22" i="22"/>
  <c r="AF44" i="22"/>
  <c r="AF21" i="22"/>
  <c r="AF49" i="22"/>
  <c r="B44" i="22"/>
  <c r="AH22" i="22"/>
  <c r="B31" i="22"/>
  <c r="B37" i="22"/>
  <c r="AF47" i="22"/>
  <c r="AF53" i="22"/>
  <c r="N20" i="22"/>
  <c r="AF22" i="22"/>
  <c r="AP28" i="22"/>
  <c r="AQ23" i="22"/>
  <c r="AS23" i="22" s="1"/>
  <c r="AG23" i="22"/>
  <c r="AI23" i="22" s="1"/>
  <c r="M23" i="22"/>
  <c r="O23" i="22" s="1"/>
  <c r="C23" i="22"/>
  <c r="E23" i="22" s="1"/>
  <c r="K19" i="10"/>
  <c r="J20" i="10"/>
  <c r="AP48" i="22"/>
  <c r="AH21" i="22"/>
  <c r="AR21" i="22"/>
  <c r="N21" i="22"/>
  <c r="D21" i="22"/>
  <c r="AP29" i="22"/>
  <c r="AP45" i="22"/>
  <c r="AP27" i="22"/>
  <c r="AP26" i="22"/>
  <c r="AP42" i="22"/>
  <c r="AQ21" i="22"/>
  <c r="AS21" i="22" s="1"/>
  <c r="AG21" i="22"/>
  <c r="AI21" i="22" s="1"/>
  <c r="M21" i="22"/>
  <c r="O21" i="22" s="1"/>
  <c r="C21" i="22"/>
  <c r="E21" i="22" s="1"/>
  <c r="AF26" i="22"/>
  <c r="AF42" i="22"/>
  <c r="AP24" i="22"/>
  <c r="AP41" i="22"/>
  <c r="AP36" i="22"/>
  <c r="B48" i="22"/>
  <c r="AP35" i="22"/>
  <c r="AP30" i="22"/>
  <c r="AP46" i="22"/>
  <c r="AG24" i="22"/>
  <c r="AI24" i="22" s="1"/>
  <c r="AQ24" i="22"/>
  <c r="AS24" i="22" s="1"/>
  <c r="M24" i="22"/>
  <c r="O24" i="22" s="1"/>
  <c r="C24" i="22"/>
  <c r="E24" i="22" s="1"/>
  <c r="AF24" i="22"/>
  <c r="AF48" i="22"/>
  <c r="AF29" i="22"/>
  <c r="AF45" i="22"/>
  <c r="B41" i="22"/>
  <c r="AP32" i="22"/>
  <c r="AP21" i="22"/>
  <c r="AP37" i="22"/>
  <c r="AP53" i="22"/>
  <c r="AP52" i="22"/>
  <c r="B32" i="22"/>
  <c r="AP31" i="22"/>
  <c r="AP43" i="22"/>
  <c r="AP34" i="22"/>
  <c r="AP50" i="22"/>
  <c r="AP23" i="22"/>
  <c r="AH24" i="22"/>
  <c r="AR24" i="22"/>
  <c r="D24" i="22"/>
  <c r="N24" i="22"/>
  <c r="AF30" i="22"/>
  <c r="AF46" i="22"/>
  <c r="AF27" i="22"/>
  <c r="AF35" i="22"/>
  <c r="AF43" i="22"/>
  <c r="B26" i="22"/>
  <c r="B42" i="22"/>
  <c r="B27" i="22"/>
  <c r="B43" i="22"/>
  <c r="B29" i="22"/>
  <c r="B45" i="22"/>
  <c r="AP40" i="22"/>
  <c r="AP33" i="22"/>
  <c r="AP49" i="22"/>
  <c r="AQ22" i="22"/>
  <c r="AS22" i="22" s="1"/>
  <c r="AG22" i="22"/>
  <c r="AI22" i="22" s="1"/>
  <c r="C22" i="22"/>
  <c r="E22" i="22" s="1"/>
  <c r="M22" i="22"/>
  <c r="O22" i="22" s="1"/>
  <c r="AQ20" i="22"/>
  <c r="AS20" i="22" s="1"/>
  <c r="AG20" i="22"/>
  <c r="AI20" i="22" s="1"/>
  <c r="M20" i="22"/>
  <c r="O20" i="22" s="1"/>
  <c r="C20" i="22"/>
  <c r="E20" i="22" s="1"/>
  <c r="B36" i="22"/>
  <c r="AP47" i="22"/>
  <c r="AP51" i="22"/>
  <c r="AP22" i="22"/>
  <c r="AP38" i="22"/>
  <c r="B52" i="22"/>
  <c r="AP39" i="22"/>
  <c r="C28" i="7"/>
  <c r="L28" i="7"/>
  <c r="T28" i="7"/>
  <c r="T28" i="25" s="1"/>
  <c r="S7" i="35" s="1"/>
  <c r="AO23" i="25"/>
  <c r="AF2" i="35" s="1"/>
  <c r="I25" i="25"/>
  <c r="AG25" i="25"/>
  <c r="X4" i="35" s="1"/>
  <c r="AC26" i="25"/>
  <c r="T5" i="35" s="1"/>
  <c r="K28" i="25"/>
  <c r="O27" i="25"/>
  <c r="F6" i="35" s="1"/>
  <c r="X25" i="25"/>
  <c r="W4" i="35" s="1"/>
  <c r="AT24" i="25"/>
  <c r="AB23" i="25"/>
  <c r="AA2" i="35" s="1"/>
  <c r="R24" i="25"/>
  <c r="Q3" i="35" s="1"/>
  <c r="T26" i="25"/>
  <c r="S5" i="35" s="1"/>
  <c r="R27" i="25"/>
  <c r="Q6" i="35" s="1"/>
  <c r="AR27" i="25"/>
  <c r="AL27" i="25"/>
  <c r="AK6" i="35" s="1"/>
  <c r="Z28" i="25"/>
  <c r="Y7" i="35" s="1"/>
  <c r="N23" i="25"/>
  <c r="M2" i="35" s="1"/>
  <c r="AB28" i="25"/>
  <c r="AA7" i="35" s="1"/>
  <c r="D28" i="25"/>
  <c r="C7" i="35" s="1"/>
  <c r="AA25" i="25"/>
  <c r="R4" i="35" s="1"/>
  <c r="T23" i="25"/>
  <c r="S2" i="35" s="1"/>
  <c r="U23" i="25"/>
  <c r="L2" i="35" s="1"/>
  <c r="AC23" i="25"/>
  <c r="T2" i="35" s="1"/>
  <c r="AK23" i="25"/>
  <c r="AB2" i="35" s="1"/>
  <c r="I24" i="25"/>
  <c r="Q24" i="25"/>
  <c r="H3" i="35" s="1"/>
  <c r="Y24" i="25"/>
  <c r="P3" i="35" s="1"/>
  <c r="AO24" i="25"/>
  <c r="AF3" i="35" s="1"/>
  <c r="E25" i="25"/>
  <c r="M25" i="25"/>
  <c r="D4" i="35" s="1"/>
  <c r="U25" i="25"/>
  <c r="L4" i="35" s="1"/>
  <c r="AK25" i="25"/>
  <c r="AB4" i="35" s="1"/>
  <c r="AS25" i="25"/>
  <c r="AJ4" i="35" s="1"/>
  <c r="Q26" i="25"/>
  <c r="H5" i="35" s="1"/>
  <c r="AG26" i="25"/>
  <c r="X5" i="35" s="1"/>
  <c r="AU28" i="25"/>
  <c r="AL7" i="35" s="1"/>
  <c r="AE28" i="25"/>
  <c r="V7" i="35" s="1"/>
  <c r="O28" i="25"/>
  <c r="F7" i="35" s="1"/>
  <c r="AQ27" i="25"/>
  <c r="AH6" i="35" s="1"/>
  <c r="AI27" i="25"/>
  <c r="Z6" i="35" s="1"/>
  <c r="S27" i="25"/>
  <c r="J6" i="35" s="1"/>
  <c r="K27" i="25"/>
  <c r="AB26" i="25"/>
  <c r="AA5" i="35" s="1"/>
  <c r="H25" i="25"/>
  <c r="G4" i="35" s="1"/>
  <c r="AF23" i="25"/>
  <c r="AE2" i="35" s="1"/>
  <c r="AL26" i="25"/>
  <c r="AK5" i="35" s="1"/>
  <c r="R25" i="25"/>
  <c r="Q4" i="35" s="1"/>
  <c r="AD24" i="25"/>
  <c r="AC3" i="35" s="1"/>
  <c r="AP23" i="25"/>
  <c r="J23" i="25"/>
  <c r="I2" i="35" s="1"/>
  <c r="AJ25" i="25"/>
  <c r="AI4" i="35" s="1"/>
  <c r="J25" i="25"/>
  <c r="I4" i="35" s="1"/>
  <c r="AT26" i="25"/>
  <c r="V28" i="25"/>
  <c r="U7" i="35" s="1"/>
  <c r="AN26" i="25"/>
  <c r="AR24" i="25"/>
  <c r="G23" i="25"/>
  <c r="O23" i="25"/>
  <c r="F2" i="35" s="1"/>
  <c r="W23" i="25"/>
  <c r="N2" i="35" s="1"/>
  <c r="AE23" i="25"/>
  <c r="V2" i="35" s="1"/>
  <c r="AM23" i="25"/>
  <c r="AD2" i="35" s="1"/>
  <c r="AU23" i="25"/>
  <c r="AL2" i="35" s="1"/>
  <c r="K24" i="25"/>
  <c r="S24" i="25"/>
  <c r="J3" i="35" s="1"/>
  <c r="AA24" i="25"/>
  <c r="R3" i="35" s="1"/>
  <c r="AI24" i="25"/>
  <c r="Z3" i="35" s="1"/>
  <c r="AQ24" i="25"/>
  <c r="AH3" i="35" s="1"/>
  <c r="G25" i="25"/>
  <c r="O25" i="25"/>
  <c r="F4" i="35" s="1"/>
  <c r="W25" i="25"/>
  <c r="N4" i="35" s="1"/>
  <c r="AE25" i="25"/>
  <c r="V4" i="35" s="1"/>
  <c r="AM25" i="25"/>
  <c r="AD4" i="35" s="1"/>
  <c r="AU25" i="25"/>
  <c r="AL4" i="35" s="1"/>
  <c r="K26" i="25"/>
  <c r="S26" i="25"/>
  <c r="J5" i="35" s="1"/>
  <c r="AA26" i="25"/>
  <c r="R5" i="35" s="1"/>
  <c r="AI26" i="25"/>
  <c r="Z5" i="35" s="1"/>
  <c r="C23" i="25"/>
  <c r="AS28" i="25"/>
  <c r="AJ7" i="35" s="1"/>
  <c r="AK28" i="25"/>
  <c r="AB7" i="35" s="1"/>
  <c r="AC28" i="25"/>
  <c r="T7" i="35" s="1"/>
  <c r="U28" i="25"/>
  <c r="L7" i="35" s="1"/>
  <c r="M28" i="25"/>
  <c r="D7" i="35" s="1"/>
  <c r="E28" i="25"/>
  <c r="AO27" i="25"/>
  <c r="AF6" i="35" s="1"/>
  <c r="AG27" i="25"/>
  <c r="X6" i="35" s="1"/>
  <c r="Y27" i="25"/>
  <c r="P6" i="35" s="1"/>
  <c r="Q27" i="25"/>
  <c r="H6" i="35" s="1"/>
  <c r="I27" i="25"/>
  <c r="AS26" i="25"/>
  <c r="AJ5" i="35" s="1"/>
  <c r="R26" i="25"/>
  <c r="Q5" i="35" s="1"/>
  <c r="AD25" i="25"/>
  <c r="AC4" i="35" s="1"/>
  <c r="AP24" i="25"/>
  <c r="J24" i="25"/>
  <c r="I3" i="35" s="1"/>
  <c r="V23" i="25"/>
  <c r="U2" i="35" s="1"/>
  <c r="AF26" i="25"/>
  <c r="AE5" i="35" s="1"/>
  <c r="AR25" i="25"/>
  <c r="L25" i="25"/>
  <c r="K4" i="35" s="1"/>
  <c r="X24" i="25"/>
  <c r="W3" i="35" s="1"/>
  <c r="AJ23" i="25"/>
  <c r="AI2" i="35" s="1"/>
  <c r="E23" i="25"/>
  <c r="AL24" i="25"/>
  <c r="AK3" i="35" s="1"/>
  <c r="N26" i="25"/>
  <c r="M5" i="35" s="1"/>
  <c r="AN23" i="25"/>
  <c r="V25" i="25"/>
  <c r="U4" i="35" s="1"/>
  <c r="J27" i="7"/>
  <c r="AP27" i="7"/>
  <c r="AD28" i="7"/>
  <c r="AD23" i="25"/>
  <c r="AC2" i="35" s="1"/>
  <c r="AF25" i="25"/>
  <c r="AE4" i="35" s="1"/>
  <c r="D27" i="7"/>
  <c r="AJ27" i="7"/>
  <c r="X28" i="7"/>
  <c r="L23" i="25"/>
  <c r="K2" i="35" s="1"/>
  <c r="P25" i="7"/>
  <c r="AP26" i="7"/>
  <c r="AD27" i="7"/>
  <c r="R28" i="7"/>
  <c r="C26" i="7"/>
  <c r="AN27" i="7"/>
  <c r="P27" i="7"/>
  <c r="F25" i="7"/>
  <c r="J26" i="7"/>
  <c r="X27" i="7"/>
  <c r="I23" i="25"/>
  <c r="Y23" i="25"/>
  <c r="P2" i="35" s="1"/>
  <c r="AG23" i="25"/>
  <c r="X2" i="35" s="1"/>
  <c r="E24" i="25"/>
  <c r="U24" i="25"/>
  <c r="L3" i="35" s="1"/>
  <c r="AC24" i="25"/>
  <c r="T3" i="35" s="1"/>
  <c r="AK24" i="25"/>
  <c r="AB3" i="35" s="1"/>
  <c r="AS24" i="25"/>
  <c r="AJ3" i="35" s="1"/>
  <c r="Q25" i="25"/>
  <c r="H4" i="35" s="1"/>
  <c r="AO25" i="25"/>
  <c r="AF4" i="35" s="1"/>
  <c r="E26" i="25"/>
  <c r="M26" i="25"/>
  <c r="D5" i="35" s="1"/>
  <c r="U26" i="25"/>
  <c r="L5" i="35" s="1"/>
  <c r="C27" i="25"/>
  <c r="AI28" i="25"/>
  <c r="Z7" i="35" s="1"/>
  <c r="S28" i="25"/>
  <c r="J7" i="35" s="1"/>
  <c r="AE27" i="25"/>
  <c r="V6" i="35" s="1"/>
  <c r="G27" i="25"/>
  <c r="L26" i="25"/>
  <c r="K5" i="35" s="1"/>
  <c r="AJ24" i="25"/>
  <c r="AI3" i="35" s="1"/>
  <c r="P23" i="25"/>
  <c r="O2" i="35" s="1"/>
  <c r="V26" i="25"/>
  <c r="U5" i="35" s="1"/>
  <c r="N24" i="25"/>
  <c r="M3" i="35" s="1"/>
  <c r="D25" i="25"/>
  <c r="C4" i="35" s="1"/>
  <c r="F28" i="25"/>
  <c r="E7" i="35" s="1"/>
  <c r="AR23" i="25"/>
  <c r="D26" i="25"/>
  <c r="C5" i="35" s="1"/>
  <c r="L27" i="25"/>
  <c r="K6" i="35" s="1"/>
  <c r="AF28" i="25"/>
  <c r="AE7" i="35" s="1"/>
  <c r="AH23" i="25"/>
  <c r="AG2" i="35" s="1"/>
  <c r="AL25" i="25"/>
  <c r="AK4" i="35" s="1"/>
  <c r="S23" i="25"/>
  <c r="J2" i="35" s="1"/>
  <c r="AI23" i="25"/>
  <c r="Z2" i="35" s="1"/>
  <c r="O24" i="25"/>
  <c r="F3" i="35" s="1"/>
  <c r="AM24" i="25"/>
  <c r="AD3" i="35" s="1"/>
  <c r="K25" i="25"/>
  <c r="AI25" i="25"/>
  <c r="Z4" i="35" s="1"/>
  <c r="O26" i="25"/>
  <c r="F5" i="35" s="1"/>
  <c r="C25" i="25"/>
  <c r="AG28" i="25"/>
  <c r="X7" i="35" s="1"/>
  <c r="Y28" i="25"/>
  <c r="P7" i="35" s="1"/>
  <c r="AS27" i="25"/>
  <c r="AJ6" i="35" s="1"/>
  <c r="AC27" i="25"/>
  <c r="T6" i="35" s="1"/>
  <c r="M27" i="25"/>
  <c r="D6" i="35" s="1"/>
  <c r="AH26" i="25"/>
  <c r="AG5" i="35" s="1"/>
  <c r="N25" i="25"/>
  <c r="M4" i="35" s="1"/>
  <c r="P26" i="25"/>
  <c r="O5" i="35" s="1"/>
  <c r="AN24" i="25"/>
  <c r="F24" i="25"/>
  <c r="E3" i="35" s="1"/>
  <c r="D23" i="25"/>
  <c r="C2" i="35" s="1"/>
  <c r="AJ26" i="25"/>
  <c r="AI5" i="35" s="1"/>
  <c r="Z27" i="25"/>
  <c r="Y6" i="35" s="1"/>
  <c r="N28" i="25"/>
  <c r="M7" i="35" s="1"/>
  <c r="AT28" i="25"/>
  <c r="Z26" i="25"/>
  <c r="Y5" i="35" s="1"/>
  <c r="T27" i="25"/>
  <c r="S6" i="35" s="1"/>
  <c r="H28" i="25"/>
  <c r="G7" i="35" s="1"/>
  <c r="AN28" i="25"/>
  <c r="AT23" i="25"/>
  <c r="H26" i="25"/>
  <c r="G5" i="35" s="1"/>
  <c r="N27" i="25"/>
  <c r="M6" i="35" s="1"/>
  <c r="AT27" i="25"/>
  <c r="AH28" i="25"/>
  <c r="AG7" i="35" s="1"/>
  <c r="T25" i="25"/>
  <c r="S4" i="35" s="1"/>
  <c r="L24" i="25"/>
  <c r="K3" i="35" s="1"/>
  <c r="AJ28" i="25"/>
  <c r="AI7" i="35" s="1"/>
  <c r="C28" i="25"/>
  <c r="AR26" i="25"/>
  <c r="AB24" i="25"/>
  <c r="AA3" i="35" s="1"/>
  <c r="R23" i="25"/>
  <c r="Q2" i="35" s="1"/>
  <c r="Q23" i="25"/>
  <c r="H2" i="35" s="1"/>
  <c r="M24" i="25"/>
  <c r="D3" i="35" s="1"/>
  <c r="Y25" i="25"/>
  <c r="P4" i="35" s="1"/>
  <c r="AK26" i="25"/>
  <c r="AB5" i="35" s="1"/>
  <c r="AQ28" i="25"/>
  <c r="AH7" i="35" s="1"/>
  <c r="AA28" i="25"/>
  <c r="R7" i="35" s="1"/>
  <c r="AU27" i="25"/>
  <c r="AL6" i="35" s="1"/>
  <c r="AM27" i="25"/>
  <c r="AD6" i="35" s="1"/>
  <c r="W27" i="25"/>
  <c r="N6" i="35" s="1"/>
  <c r="AQ26" i="25"/>
  <c r="AH5" i="35" s="1"/>
  <c r="D24" i="25"/>
  <c r="C3" i="35" s="1"/>
  <c r="AH25" i="25"/>
  <c r="AG4" i="35" s="1"/>
  <c r="Z23" i="25"/>
  <c r="Y2" i="35" s="1"/>
  <c r="X26" i="25"/>
  <c r="W5" i="35" s="1"/>
  <c r="AL28" i="25"/>
  <c r="AK7" i="35" s="1"/>
  <c r="F27" i="25"/>
  <c r="E6" i="35" s="1"/>
  <c r="AF27" i="25"/>
  <c r="AE6" i="35" s="1"/>
  <c r="L28" i="25"/>
  <c r="K7" i="35" s="1"/>
  <c r="K23" i="25"/>
  <c r="B2" i="35" s="1"/>
  <c r="AA23" i="25"/>
  <c r="R2" i="35" s="1"/>
  <c r="AQ23" i="25"/>
  <c r="AH2" i="35" s="1"/>
  <c r="G24" i="25"/>
  <c r="W24" i="25"/>
  <c r="N3" i="35" s="1"/>
  <c r="AE24" i="25"/>
  <c r="V3" i="35" s="1"/>
  <c r="AU24" i="25"/>
  <c r="AL3" i="35" s="1"/>
  <c r="S25" i="25"/>
  <c r="J4" i="35" s="1"/>
  <c r="AQ25" i="25"/>
  <c r="AH4" i="35" s="1"/>
  <c r="G26" i="25"/>
  <c r="W26" i="25"/>
  <c r="N5" i="35" s="1"/>
  <c r="AE26" i="25"/>
  <c r="V5" i="35" s="1"/>
  <c r="AM26" i="25"/>
  <c r="AD5" i="35" s="1"/>
  <c r="AO28" i="25"/>
  <c r="AF7" i="35" s="1"/>
  <c r="Q28" i="25"/>
  <c r="H7" i="35" s="1"/>
  <c r="I28" i="25"/>
  <c r="AK27" i="25"/>
  <c r="AB6" i="35" s="1"/>
  <c r="U27" i="25"/>
  <c r="L6" i="35" s="1"/>
  <c r="E27" i="25"/>
  <c r="AT25" i="25"/>
  <c r="Z24" i="25"/>
  <c r="Y3" i="35" s="1"/>
  <c r="AL23" i="25"/>
  <c r="AK2" i="35" s="1"/>
  <c r="F23" i="25"/>
  <c r="E2" i="35" s="1"/>
  <c r="AB25" i="25"/>
  <c r="AA4" i="35" s="1"/>
  <c r="H24" i="25"/>
  <c r="G3" i="35" s="1"/>
  <c r="Z25" i="25"/>
  <c r="Y4" i="35" s="1"/>
  <c r="AF24" i="25"/>
  <c r="AE3" i="35" s="1"/>
  <c r="V24" i="25"/>
  <c r="U3" i="35" s="1"/>
  <c r="M23" i="25"/>
  <c r="D2" i="35" s="1"/>
  <c r="AS23" i="25"/>
  <c r="AJ2" i="35" s="1"/>
  <c r="AG24" i="25"/>
  <c r="X3" i="35" s="1"/>
  <c r="AC25" i="25"/>
  <c r="T4" i="35" s="1"/>
  <c r="I26" i="25"/>
  <c r="Y26" i="25"/>
  <c r="P5" i="35" s="1"/>
  <c r="AO26" i="25"/>
  <c r="AF5" i="35" s="1"/>
  <c r="AM28" i="25"/>
  <c r="AD7" i="35" s="1"/>
  <c r="W28" i="25"/>
  <c r="N7" i="35" s="1"/>
  <c r="G28" i="25"/>
  <c r="AA27" i="25"/>
  <c r="R6" i="35" s="1"/>
  <c r="AU26" i="25"/>
  <c r="AL5" i="35" s="1"/>
  <c r="AN25" i="25"/>
  <c r="T24" i="25"/>
  <c r="S3" i="35" s="1"/>
  <c r="F26" i="25"/>
  <c r="E5" i="35" s="1"/>
  <c r="P24" i="25"/>
  <c r="O3" i="35" s="1"/>
  <c r="X23" i="25"/>
  <c r="W2" i="35" s="1"/>
  <c r="AH27" i="25"/>
  <c r="AG6" i="35" s="1"/>
  <c r="H23" i="25"/>
  <c r="G2" i="35" s="1"/>
  <c r="AH24" i="25"/>
  <c r="AG3" i="35" s="1"/>
  <c r="AB27" i="25"/>
  <c r="AA6" i="35" s="1"/>
  <c r="P28" i="25"/>
  <c r="O7" i="35" s="1"/>
  <c r="C24" i="25"/>
  <c r="AD26" i="25"/>
  <c r="AC5" i="35" s="1"/>
  <c r="V27" i="25"/>
  <c r="U6" i="35" s="1"/>
  <c r="J28" i="25"/>
  <c r="I7" i="35" s="1"/>
  <c r="AP28" i="25"/>
  <c r="H27" i="25"/>
  <c r="G6" i="35" s="1"/>
  <c r="AP25" i="25"/>
  <c r="E13" i="23"/>
  <c r="E12" i="23"/>
  <c r="E10" i="23"/>
  <c r="E14" i="23"/>
  <c r="E11" i="23"/>
  <c r="AR28" i="7"/>
  <c r="U23" i="27"/>
  <c r="U23" i="26" s="1"/>
  <c r="L2" i="45" s="1"/>
  <c r="AU26" i="27"/>
  <c r="AU26" i="26" s="1"/>
  <c r="AL5" i="45" s="1"/>
  <c r="AB24" i="27"/>
  <c r="AB24" i="26" s="1"/>
  <c r="S3" i="45" s="1"/>
  <c r="AE27" i="27"/>
  <c r="AE27" i="26" s="1"/>
  <c r="V6" i="45" s="1"/>
  <c r="K25" i="27"/>
  <c r="K25" i="26" s="1"/>
  <c r="B4" i="45" s="1"/>
  <c r="G26" i="27"/>
  <c r="G26" i="26" s="1"/>
  <c r="AP27" i="27"/>
  <c r="AP27" i="26" s="1"/>
  <c r="AG6" i="45" s="1"/>
  <c r="R28" i="27"/>
  <c r="R28" i="26" s="1"/>
  <c r="I7" i="45" s="1"/>
  <c r="AR24" i="27"/>
  <c r="AR24" i="26" s="1"/>
  <c r="AI3" i="45" s="1"/>
  <c r="AU27" i="27"/>
  <c r="AU27" i="26" s="1"/>
  <c r="AL6" i="45" s="1"/>
  <c r="AB25" i="27"/>
  <c r="AB25" i="26" s="1"/>
  <c r="S4" i="45" s="1"/>
  <c r="Y24" i="27"/>
  <c r="Y24" i="26" s="1"/>
  <c r="P3" i="45" s="1"/>
  <c r="AE24" i="27"/>
  <c r="AE24" i="26" s="1"/>
  <c r="V3" i="45" s="1"/>
  <c r="AQ24" i="27"/>
  <c r="AQ24" i="26" s="1"/>
  <c r="AH3" i="45" s="1"/>
  <c r="AE26" i="27"/>
  <c r="AE26" i="26" s="1"/>
  <c r="V5" i="45" s="1"/>
  <c r="K24" i="27"/>
  <c r="K24" i="26" s="1"/>
  <c r="B3" i="45" s="1"/>
  <c r="O27" i="27"/>
  <c r="O27" i="26" s="1"/>
  <c r="F6" i="45" s="1"/>
  <c r="AI23" i="27"/>
  <c r="AI23" i="26" s="1"/>
  <c r="Z2" i="45" s="1"/>
  <c r="F23" i="27"/>
  <c r="F23" i="26" s="1"/>
  <c r="AO28" i="27"/>
  <c r="AO28" i="26" s="1"/>
  <c r="AF7" i="45" s="1"/>
  <c r="I28" i="27"/>
  <c r="I28" i="26" s="1"/>
  <c r="T27" i="27"/>
  <c r="T27" i="26" s="1"/>
  <c r="K6" i="45" s="1"/>
  <c r="AH26" i="27"/>
  <c r="AH26" i="26" s="1"/>
  <c r="Y5" i="45" s="1"/>
  <c r="C26" i="27"/>
  <c r="C26" i="26" s="1"/>
  <c r="U25" i="27"/>
  <c r="U25" i="26" s="1"/>
  <c r="L4" i="45" s="1"/>
  <c r="AK24" i="27"/>
  <c r="AK24" i="26" s="1"/>
  <c r="AB3" i="45" s="1"/>
  <c r="E24" i="27"/>
  <c r="E24" i="26" s="1"/>
  <c r="R23" i="27"/>
  <c r="R23" i="26" s="1"/>
  <c r="I2" i="45" s="1"/>
  <c r="AI28" i="27"/>
  <c r="AI28" i="26" s="1"/>
  <c r="Z7" i="45" s="1"/>
  <c r="AT27" i="27"/>
  <c r="AT27" i="26" s="1"/>
  <c r="AK6" i="45" s="1"/>
  <c r="N27" i="27"/>
  <c r="N27" i="26" s="1"/>
  <c r="E6" i="45" s="1"/>
  <c r="AB26" i="27"/>
  <c r="AB26" i="26" s="1"/>
  <c r="S5" i="45" s="1"/>
  <c r="AM25" i="27"/>
  <c r="AM25" i="26" s="1"/>
  <c r="AD4" i="45" s="1"/>
  <c r="J25" i="27"/>
  <c r="J25" i="26" s="1"/>
  <c r="W24" i="27"/>
  <c r="W24" i="26" s="1"/>
  <c r="N3" i="45" s="1"/>
  <c r="AO23" i="27"/>
  <c r="AO23" i="26" s="1"/>
  <c r="AF2" i="45" s="1"/>
  <c r="I23" i="27"/>
  <c r="I23" i="26" s="1"/>
  <c r="AK28" i="27"/>
  <c r="AK28" i="26" s="1"/>
  <c r="AB7" i="45" s="1"/>
  <c r="E28" i="27"/>
  <c r="E28" i="26" s="1"/>
  <c r="P27" i="27"/>
  <c r="P27" i="26" s="1"/>
  <c r="G6" i="45" s="1"/>
  <c r="AD26" i="27"/>
  <c r="AD26" i="26" s="1"/>
  <c r="U5" i="45" s="1"/>
  <c r="AO25" i="27"/>
  <c r="AO25" i="26" s="1"/>
  <c r="AF4" i="45" s="1"/>
  <c r="I25" i="27"/>
  <c r="I25" i="26" s="1"/>
  <c r="Q24" i="27"/>
  <c r="Q24" i="26" s="1"/>
  <c r="H3" i="45" s="1"/>
  <c r="AD23" i="27"/>
  <c r="AD23" i="26" s="1"/>
  <c r="U2" i="45" s="1"/>
  <c r="G23" i="27"/>
  <c r="G23" i="26" s="1"/>
  <c r="W23" i="27"/>
  <c r="W23" i="26" s="1"/>
  <c r="N2" i="45" s="1"/>
  <c r="AM23" i="27"/>
  <c r="AM23" i="26" s="1"/>
  <c r="AD2" i="45" s="1"/>
  <c r="J24" i="27"/>
  <c r="J24" i="26" s="1"/>
  <c r="N25" i="27"/>
  <c r="N25" i="26" s="1"/>
  <c r="E4" i="45" s="1"/>
  <c r="V25" i="27"/>
  <c r="V25" i="26" s="1"/>
  <c r="M4" i="45" s="1"/>
  <c r="AD25" i="27"/>
  <c r="AD25" i="26" s="1"/>
  <c r="U4" i="45" s="1"/>
  <c r="AL25" i="27"/>
  <c r="AL25" i="26" s="1"/>
  <c r="AC4" i="45" s="1"/>
  <c r="AT25" i="27"/>
  <c r="AT25" i="26" s="1"/>
  <c r="AK4" i="45" s="1"/>
  <c r="E27" i="27"/>
  <c r="E27" i="26" s="1"/>
  <c r="Q27" i="27"/>
  <c r="Q27" i="26" s="1"/>
  <c r="H6" i="45" s="1"/>
  <c r="Y27" i="27"/>
  <c r="Y27" i="26" s="1"/>
  <c r="P6" i="45" s="1"/>
  <c r="AG27" i="27"/>
  <c r="AG27" i="26" s="1"/>
  <c r="X6" i="45" s="1"/>
  <c r="AO27" i="27"/>
  <c r="AO27" i="26" s="1"/>
  <c r="AF6" i="45" s="1"/>
  <c r="F28" i="27"/>
  <c r="F28" i="26" s="1"/>
  <c r="L23" i="27"/>
  <c r="L23" i="26" s="1"/>
  <c r="C2" i="45" s="1"/>
  <c r="AB23" i="27"/>
  <c r="AB23" i="26" s="1"/>
  <c r="S2" i="45" s="1"/>
  <c r="AR23" i="27"/>
  <c r="AR23" i="26" s="1"/>
  <c r="AI2" i="45" s="1"/>
  <c r="N24" i="27"/>
  <c r="N24" i="26" s="1"/>
  <c r="E3" i="45" s="1"/>
  <c r="V24" i="27"/>
  <c r="V24" i="26" s="1"/>
  <c r="M3" i="45" s="1"/>
  <c r="AD24" i="27"/>
  <c r="AD24" i="26" s="1"/>
  <c r="U3" i="45" s="1"/>
  <c r="AL24" i="27"/>
  <c r="AL24" i="26" s="1"/>
  <c r="AC3" i="45" s="1"/>
  <c r="AT24" i="27"/>
  <c r="AT24" i="26" s="1"/>
  <c r="AK3" i="45" s="1"/>
  <c r="E26" i="27"/>
  <c r="E26" i="26" s="1"/>
  <c r="Q26" i="27"/>
  <c r="Q26" i="26" s="1"/>
  <c r="H5" i="45" s="1"/>
  <c r="Y26" i="27"/>
  <c r="Y26" i="26" s="1"/>
  <c r="P5" i="45" s="1"/>
  <c r="AG26" i="27"/>
  <c r="AG26" i="26" s="1"/>
  <c r="X5" i="45" s="1"/>
  <c r="AO26" i="27"/>
  <c r="AO26" i="26" s="1"/>
  <c r="AF5" i="45" s="1"/>
  <c r="F27" i="27"/>
  <c r="F27" i="26" s="1"/>
  <c r="K28" i="27"/>
  <c r="K28" i="26" s="1"/>
  <c r="B7" i="45" s="1"/>
  <c r="T28" i="27"/>
  <c r="T28" i="26" s="1"/>
  <c r="K7" i="45" s="1"/>
  <c r="AB28" i="27"/>
  <c r="AB28" i="26" s="1"/>
  <c r="S7" i="45" s="1"/>
  <c r="AJ28" i="27"/>
  <c r="AJ28" i="26" s="1"/>
  <c r="AA7" i="45" s="1"/>
  <c r="AR28" i="27"/>
  <c r="AR28" i="26" s="1"/>
  <c r="AI7" i="45" s="1"/>
  <c r="AU28" i="27"/>
  <c r="AU28" i="26" s="1"/>
  <c r="AL7" i="45" s="1"/>
  <c r="O28" i="27"/>
  <c r="O28" i="26" s="1"/>
  <c r="F7" i="45" s="1"/>
  <c r="AH27" i="27"/>
  <c r="AH27" i="26" s="1"/>
  <c r="Y6" i="45" s="1"/>
  <c r="D27" i="27"/>
  <c r="D27" i="26" s="1"/>
  <c r="P26" i="27"/>
  <c r="P26" i="26" s="1"/>
  <c r="G5" i="45" s="1"/>
  <c r="AA25" i="27"/>
  <c r="AA25" i="26" s="1"/>
  <c r="R4" i="45" s="1"/>
  <c r="AI24" i="27"/>
  <c r="AI24" i="26" s="1"/>
  <c r="Z3" i="45" s="1"/>
  <c r="AS23" i="27"/>
  <c r="AS23" i="26" s="1"/>
  <c r="AJ2" i="45" s="1"/>
  <c r="M23" i="27"/>
  <c r="M23" i="26" s="1"/>
  <c r="D2" i="45" s="1"/>
  <c r="AG28" i="27"/>
  <c r="AG28" i="26" s="1"/>
  <c r="X7" i="45" s="1"/>
  <c r="AR27" i="27"/>
  <c r="AR27" i="26" s="1"/>
  <c r="AI6" i="45" s="1"/>
  <c r="K27" i="27"/>
  <c r="K27" i="26" s="1"/>
  <c r="B6" i="45" s="1"/>
  <c r="Z26" i="27"/>
  <c r="Z26" i="26" s="1"/>
  <c r="Q5" i="45" s="1"/>
  <c r="AS25" i="27"/>
  <c r="AS25" i="26" s="1"/>
  <c r="AJ4" i="45" s="1"/>
  <c r="M25" i="27"/>
  <c r="M25" i="26" s="1"/>
  <c r="D4" i="45" s="1"/>
  <c r="AC24" i="27"/>
  <c r="AC24" i="26" s="1"/>
  <c r="T3" i="45" s="1"/>
  <c r="AP23" i="27"/>
  <c r="AP23" i="26" s="1"/>
  <c r="AG2" i="45" s="1"/>
  <c r="J23" i="27"/>
  <c r="J23" i="26" s="1"/>
  <c r="AA28" i="27"/>
  <c r="AA28" i="26" s="1"/>
  <c r="R7" i="45" s="1"/>
  <c r="AL27" i="27"/>
  <c r="AL27" i="26" s="1"/>
  <c r="AC6" i="45" s="1"/>
  <c r="H27" i="27"/>
  <c r="H27" i="26" s="1"/>
  <c r="T26" i="27"/>
  <c r="T26" i="26" s="1"/>
  <c r="K5" i="45" s="1"/>
  <c r="AE25" i="27"/>
  <c r="AE25" i="26" s="1"/>
  <c r="V4" i="45" s="1"/>
  <c r="AU24" i="27"/>
  <c r="AU24" i="26" s="1"/>
  <c r="AL3" i="45" s="1"/>
  <c r="O24" i="27"/>
  <c r="O24" i="26" s="1"/>
  <c r="F3" i="45" s="1"/>
  <c r="AG23" i="27"/>
  <c r="AG23" i="26" s="1"/>
  <c r="X2" i="45" s="1"/>
  <c r="AC28" i="27"/>
  <c r="AC28" i="26" s="1"/>
  <c r="T7" i="45" s="1"/>
  <c r="AN27" i="27"/>
  <c r="AN27" i="26" s="1"/>
  <c r="AE6" i="45" s="1"/>
  <c r="G27" i="27"/>
  <c r="G27" i="26" s="1"/>
  <c r="V26" i="27"/>
  <c r="V26" i="26" s="1"/>
  <c r="M5" i="45" s="1"/>
  <c r="AG25" i="27"/>
  <c r="AG25" i="26" s="1"/>
  <c r="X4" i="45" s="1"/>
  <c r="AO24" i="27"/>
  <c r="AO24" i="26" s="1"/>
  <c r="AF3" i="45" s="1"/>
  <c r="I24" i="27"/>
  <c r="I24" i="26" s="1"/>
  <c r="V23" i="27"/>
  <c r="V23" i="26" s="1"/>
  <c r="M2" i="45" s="1"/>
  <c r="K23" i="27"/>
  <c r="K23" i="26" s="1"/>
  <c r="B2" i="45" s="1"/>
  <c r="AA23" i="27"/>
  <c r="AA23" i="26" s="1"/>
  <c r="R2" i="45" s="1"/>
  <c r="AQ23" i="27"/>
  <c r="AQ23" i="26" s="1"/>
  <c r="AH2" i="45" s="1"/>
  <c r="C25" i="27"/>
  <c r="C25" i="26" s="1"/>
  <c r="P25" i="27"/>
  <c r="P25" i="26" s="1"/>
  <c r="G4" i="45" s="1"/>
  <c r="X25" i="27"/>
  <c r="X25" i="26" s="1"/>
  <c r="O4" i="45" s="1"/>
  <c r="AF25" i="27"/>
  <c r="AF25" i="26" s="1"/>
  <c r="W4" i="45" s="1"/>
  <c r="AN25" i="27"/>
  <c r="AN25" i="26" s="1"/>
  <c r="AE4" i="45" s="1"/>
  <c r="D26" i="27"/>
  <c r="D26" i="26" s="1"/>
  <c r="I27" i="27"/>
  <c r="I27" i="26" s="1"/>
  <c r="S27" i="27"/>
  <c r="S27" i="26" s="1"/>
  <c r="J6" i="45" s="1"/>
  <c r="AA27" i="27"/>
  <c r="AA27" i="26" s="1"/>
  <c r="R6" i="45" s="1"/>
  <c r="AI27" i="27"/>
  <c r="AI27" i="26" s="1"/>
  <c r="Z6" i="45" s="1"/>
  <c r="AQ27" i="27"/>
  <c r="AQ27" i="26" s="1"/>
  <c r="AH6" i="45" s="1"/>
  <c r="J28" i="27"/>
  <c r="J28" i="26" s="1"/>
  <c r="P23" i="27"/>
  <c r="P23" i="26" s="1"/>
  <c r="G2" i="45" s="1"/>
  <c r="AF23" i="27"/>
  <c r="AF23" i="26" s="1"/>
  <c r="W2" i="45" s="1"/>
  <c r="C24" i="27"/>
  <c r="C24" i="26" s="1"/>
  <c r="P24" i="27"/>
  <c r="P24" i="26" s="1"/>
  <c r="G3" i="45" s="1"/>
  <c r="X24" i="27"/>
  <c r="X24" i="26" s="1"/>
  <c r="O3" i="45" s="1"/>
  <c r="AF24" i="27"/>
  <c r="AF24" i="26" s="1"/>
  <c r="W3" i="45" s="1"/>
  <c r="AN24" i="27"/>
  <c r="AN24" i="26" s="1"/>
  <c r="AE3" i="45" s="1"/>
  <c r="D25" i="27"/>
  <c r="D25" i="26" s="1"/>
  <c r="I26" i="27"/>
  <c r="I26" i="26" s="1"/>
  <c r="S26" i="27"/>
  <c r="S26" i="26" s="1"/>
  <c r="J5" i="45" s="1"/>
  <c r="AA26" i="27"/>
  <c r="AA26" i="26" s="1"/>
  <c r="R5" i="45" s="1"/>
  <c r="AI26" i="27"/>
  <c r="AI26" i="26" s="1"/>
  <c r="Z5" i="45" s="1"/>
  <c r="AQ26" i="27"/>
  <c r="AQ26" i="26" s="1"/>
  <c r="AH5" i="45" s="1"/>
  <c r="J27" i="27"/>
  <c r="J27" i="26" s="1"/>
  <c r="N28" i="27"/>
  <c r="N28" i="26" s="1"/>
  <c r="E7" i="45" s="1"/>
  <c r="V28" i="27"/>
  <c r="V28" i="26" s="1"/>
  <c r="M7" i="45" s="1"/>
  <c r="AD28" i="27"/>
  <c r="AD28" i="26" s="1"/>
  <c r="U7" i="45" s="1"/>
  <c r="AL28" i="27"/>
  <c r="AL28" i="26" s="1"/>
  <c r="AC7" i="45" s="1"/>
  <c r="AT28" i="27"/>
  <c r="AT28" i="26" s="1"/>
  <c r="AK7" i="45" s="1"/>
  <c r="AM28" i="27"/>
  <c r="AM28" i="26" s="1"/>
  <c r="AD7" i="45" s="1"/>
  <c r="L28" i="27"/>
  <c r="L28" i="26" s="1"/>
  <c r="C7" i="45" s="1"/>
  <c r="Z27" i="27"/>
  <c r="Z27" i="26" s="1"/>
  <c r="Q6" i="45" s="1"/>
  <c r="AN26" i="27"/>
  <c r="AN26" i="26" s="1"/>
  <c r="AE5" i="45" s="1"/>
  <c r="F26" i="27"/>
  <c r="F26" i="26" s="1"/>
  <c r="S25" i="27"/>
  <c r="S25" i="26" s="1"/>
  <c r="J4" i="45" s="1"/>
  <c r="AA24" i="27"/>
  <c r="AA24" i="26" s="1"/>
  <c r="R3" i="45" s="1"/>
  <c r="AK23" i="27"/>
  <c r="AK23" i="26" s="1"/>
  <c r="AB2" i="45" s="1"/>
  <c r="E23" i="27"/>
  <c r="E23" i="26" s="1"/>
  <c r="Y28" i="27"/>
  <c r="Y28" i="26" s="1"/>
  <c r="P7" i="45" s="1"/>
  <c r="AJ27" i="27"/>
  <c r="AJ27" i="26" s="1"/>
  <c r="AA6" i="45" s="1"/>
  <c r="C27" i="27"/>
  <c r="C27" i="26" s="1"/>
  <c r="R26" i="27"/>
  <c r="R26" i="26" s="1"/>
  <c r="I5" i="45" s="1"/>
  <c r="AK25" i="27"/>
  <c r="AK25" i="26" s="1"/>
  <c r="AB4" i="45" s="1"/>
  <c r="E25" i="27"/>
  <c r="E25" i="26" s="1"/>
  <c r="U24" i="27"/>
  <c r="U24" i="26" s="1"/>
  <c r="L3" i="45" s="1"/>
  <c r="AH23" i="27"/>
  <c r="AH23" i="26" s="1"/>
  <c r="Y2" i="45" s="1"/>
  <c r="S28" i="27"/>
  <c r="S28" i="26" s="1"/>
  <c r="J7" i="45" s="1"/>
  <c r="AD27" i="27"/>
  <c r="AD27" i="26" s="1"/>
  <c r="U6" i="45" s="1"/>
  <c r="AR26" i="27"/>
  <c r="AR26" i="26" s="1"/>
  <c r="AI5" i="45" s="1"/>
  <c r="J26" i="27"/>
  <c r="J26" i="26" s="1"/>
  <c r="W25" i="27"/>
  <c r="W25" i="26" s="1"/>
  <c r="N4" i="45" s="1"/>
  <c r="AM24" i="27"/>
  <c r="AM24" i="26" s="1"/>
  <c r="AD3" i="45" s="1"/>
  <c r="L24" i="27"/>
  <c r="L24" i="26" s="1"/>
  <c r="C3" i="45" s="1"/>
  <c r="Y23" i="27"/>
  <c r="Y23" i="26" s="1"/>
  <c r="P2" i="45" s="1"/>
  <c r="AF27" i="27"/>
  <c r="AF27" i="26" s="1"/>
  <c r="W6" i="45" s="1"/>
  <c r="AC23" i="27"/>
  <c r="AC23" i="26" s="1"/>
  <c r="T2" i="45" s="1"/>
  <c r="F25" i="27"/>
  <c r="F25" i="26" s="1"/>
  <c r="AF26" i="27"/>
  <c r="AF26" i="26" s="1"/>
  <c r="W5" i="45" s="1"/>
  <c r="D28" i="27"/>
  <c r="D28" i="26" s="1"/>
  <c r="AF28" i="27"/>
  <c r="AF28" i="26" s="1"/>
  <c r="W7" i="45" s="1"/>
  <c r="P28" i="27"/>
  <c r="P28" i="26" s="1"/>
  <c r="G7" i="45" s="1"/>
  <c r="AS26" i="27"/>
  <c r="AS26" i="26" s="1"/>
  <c r="AJ5" i="45" s="1"/>
  <c r="AC26" i="27"/>
  <c r="AC26" i="26" s="1"/>
  <c r="T5" i="45" s="1"/>
  <c r="M26" i="27"/>
  <c r="M26" i="26" s="1"/>
  <c r="D5" i="45" s="1"/>
  <c r="AP24" i="27"/>
  <c r="AP24" i="26" s="1"/>
  <c r="AG3" i="45" s="1"/>
  <c r="Z24" i="27"/>
  <c r="Z24" i="26" s="1"/>
  <c r="Q3" i="45" s="1"/>
  <c r="G24" i="27"/>
  <c r="G24" i="26" s="1"/>
  <c r="T23" i="27"/>
  <c r="T23" i="26" s="1"/>
  <c r="K2" i="45" s="1"/>
  <c r="AS27" i="27"/>
  <c r="AS27" i="26" s="1"/>
  <c r="AJ6" i="45" s="1"/>
  <c r="AC27" i="27"/>
  <c r="AC27" i="26" s="1"/>
  <c r="T6" i="45" s="1"/>
  <c r="M27" i="27"/>
  <c r="M27" i="26" s="1"/>
  <c r="D6" i="45" s="1"/>
  <c r="AP25" i="27"/>
  <c r="AP25" i="26" s="1"/>
  <c r="AG4" i="45" s="1"/>
  <c r="Z25" i="27"/>
  <c r="Z25" i="26" s="1"/>
  <c r="Q4" i="45" s="1"/>
  <c r="G25" i="27"/>
  <c r="G25" i="26" s="1"/>
  <c r="AE23" i="27"/>
  <c r="AE23" i="26" s="1"/>
  <c r="V2" i="45" s="1"/>
  <c r="N23" i="27"/>
  <c r="N23" i="26" s="1"/>
  <c r="E2" i="45" s="1"/>
  <c r="AG24" i="27"/>
  <c r="AG24" i="26" s="1"/>
  <c r="X3" i="45" s="1"/>
  <c r="N26" i="27"/>
  <c r="N26" i="26" s="1"/>
  <c r="E5" i="45" s="1"/>
  <c r="M28" i="27"/>
  <c r="M28" i="26" s="1"/>
  <c r="D7" i="45" s="1"/>
  <c r="O25" i="27"/>
  <c r="O25" i="26" s="1"/>
  <c r="F4" i="45" s="1"/>
  <c r="H28" i="27"/>
  <c r="H28" i="26" s="1"/>
  <c r="M24" i="27"/>
  <c r="M24" i="26" s="1"/>
  <c r="D3" i="45" s="1"/>
  <c r="AP26" i="27"/>
  <c r="AP26" i="26" s="1"/>
  <c r="AG5" i="45" s="1"/>
  <c r="X27" i="27"/>
  <c r="X27" i="26" s="1"/>
  <c r="O6" i="45" s="1"/>
  <c r="V27" i="27"/>
  <c r="V27" i="26" s="1"/>
  <c r="M6" i="45" s="1"/>
  <c r="K26" i="27"/>
  <c r="K26" i="26" s="1"/>
  <c r="B5" i="45" s="1"/>
  <c r="H24" i="27"/>
  <c r="H24" i="26" s="1"/>
  <c r="AI25" i="27"/>
  <c r="AI25" i="26" s="1"/>
  <c r="Z4" i="45" s="1"/>
  <c r="L27" i="27"/>
  <c r="L27" i="26" s="1"/>
  <c r="C6" i="45" s="1"/>
  <c r="W28" i="27"/>
  <c r="W28" i="26" s="1"/>
  <c r="N7" i="45" s="1"/>
  <c r="AP28" i="27"/>
  <c r="AP28" i="26" s="1"/>
  <c r="AG7" i="45" s="1"/>
  <c r="Z28" i="27"/>
  <c r="Z28" i="26" s="1"/>
  <c r="Q7" i="45" s="1"/>
  <c r="G28" i="27"/>
  <c r="G28" i="26" s="1"/>
  <c r="AM26" i="27"/>
  <c r="AM26" i="26" s="1"/>
  <c r="AD5" i="45" s="1"/>
  <c r="W26" i="27"/>
  <c r="W26" i="26" s="1"/>
  <c r="N5" i="45" s="1"/>
  <c r="L25" i="27"/>
  <c r="L25" i="26" s="1"/>
  <c r="C4" i="45" s="1"/>
  <c r="AJ24" i="27"/>
  <c r="AJ24" i="26" s="1"/>
  <c r="AA3" i="45" s="1"/>
  <c r="T24" i="27"/>
  <c r="T24" i="26" s="1"/>
  <c r="K3" i="45" s="1"/>
  <c r="AN23" i="27"/>
  <c r="AN23" i="26" s="1"/>
  <c r="AE2" i="45" s="1"/>
  <c r="H23" i="27"/>
  <c r="H23" i="26" s="1"/>
  <c r="AM27" i="27"/>
  <c r="AM27" i="26" s="1"/>
  <c r="AD6" i="45" s="1"/>
  <c r="W27" i="27"/>
  <c r="W27" i="26" s="1"/>
  <c r="N6" i="45" s="1"/>
  <c r="L26" i="27"/>
  <c r="L26" i="26" s="1"/>
  <c r="C5" i="45" s="1"/>
  <c r="AJ25" i="27"/>
  <c r="AJ25" i="26" s="1"/>
  <c r="AA4" i="45" s="1"/>
  <c r="T25" i="27"/>
  <c r="T25" i="26" s="1"/>
  <c r="K4" i="45" s="1"/>
  <c r="F24" i="27"/>
  <c r="F24" i="26" s="1"/>
  <c r="S23" i="27"/>
  <c r="S23" i="26" s="1"/>
  <c r="J2" i="45" s="1"/>
  <c r="AL23" i="27"/>
  <c r="AL23" i="26" s="1"/>
  <c r="AC2" i="45" s="1"/>
  <c r="Q25" i="27"/>
  <c r="Q25" i="26" s="1"/>
  <c r="H4" i="45" s="1"/>
  <c r="AL26" i="27"/>
  <c r="AL26" i="26" s="1"/>
  <c r="AC5" i="45" s="1"/>
  <c r="U28" i="27"/>
  <c r="U28" i="26" s="1"/>
  <c r="L7" i="45" s="1"/>
  <c r="Q23" i="27"/>
  <c r="Q23" i="26" s="1"/>
  <c r="H2" i="45" s="1"/>
  <c r="AU25" i="27"/>
  <c r="AU25" i="26" s="1"/>
  <c r="AL4" i="45" s="1"/>
  <c r="AQ28" i="27"/>
  <c r="AQ28" i="26" s="1"/>
  <c r="AH7" i="45" s="1"/>
  <c r="AS24" i="27"/>
  <c r="AS24" i="26" s="1"/>
  <c r="AJ3" i="45" s="1"/>
  <c r="AB27" i="27"/>
  <c r="AB27" i="26" s="1"/>
  <c r="S6" i="45" s="1"/>
  <c r="S24" i="27"/>
  <c r="S24" i="26" s="1"/>
  <c r="J3" i="45" s="1"/>
  <c r="AQ25" i="27"/>
  <c r="AQ25" i="26" s="1"/>
  <c r="AH4" i="45" s="1"/>
  <c r="R27" i="27"/>
  <c r="R27" i="26" s="1"/>
  <c r="I6" i="45" s="1"/>
  <c r="AE28" i="27"/>
  <c r="AE28" i="26" s="1"/>
  <c r="V7" i="45" s="1"/>
  <c r="AN28" i="27"/>
  <c r="AN28" i="26" s="1"/>
  <c r="AE7" i="45" s="1"/>
  <c r="X28" i="27"/>
  <c r="X28" i="26" s="1"/>
  <c r="O7" i="45" s="1"/>
  <c r="C28" i="27"/>
  <c r="C28" i="26" s="1"/>
  <c r="AK26" i="27"/>
  <c r="AK26" i="26" s="1"/>
  <c r="AB5" i="45" s="1"/>
  <c r="U26" i="27"/>
  <c r="U26" i="26" s="1"/>
  <c r="L5" i="45" s="1"/>
  <c r="H25" i="27"/>
  <c r="H25" i="26" s="1"/>
  <c r="AH24" i="27"/>
  <c r="AH24" i="26" s="1"/>
  <c r="Y3" i="45" s="1"/>
  <c r="R24" i="27"/>
  <c r="R24" i="26" s="1"/>
  <c r="I3" i="45" s="1"/>
  <c r="AJ23" i="27"/>
  <c r="AJ23" i="26" s="1"/>
  <c r="AA2" i="45" s="1"/>
  <c r="D23" i="27"/>
  <c r="D23" i="26" s="1"/>
  <c r="AK27" i="27"/>
  <c r="AK27" i="26" s="1"/>
  <c r="AB6" i="45" s="1"/>
  <c r="U27" i="27"/>
  <c r="U27" i="26" s="1"/>
  <c r="L6" i="45" s="1"/>
  <c r="H26" i="27"/>
  <c r="H26" i="26" s="1"/>
  <c r="AH25" i="27"/>
  <c r="AH25" i="26" s="1"/>
  <c r="Y4" i="45" s="1"/>
  <c r="R25" i="27"/>
  <c r="R25" i="26" s="1"/>
  <c r="I4" i="45" s="1"/>
  <c r="AU23" i="27"/>
  <c r="AU23" i="26" s="1"/>
  <c r="AL2" i="45" s="1"/>
  <c r="O23" i="27"/>
  <c r="O23" i="26" s="1"/>
  <c r="F2" i="45" s="1"/>
  <c r="AT23" i="27"/>
  <c r="AT23" i="26" s="1"/>
  <c r="AK2" i="45" s="1"/>
  <c r="Y25" i="27"/>
  <c r="Y25" i="26" s="1"/>
  <c r="P4" i="45" s="1"/>
  <c r="AT26" i="27"/>
  <c r="AT26" i="26" s="1"/>
  <c r="AK5" i="45" s="1"/>
  <c r="AS28" i="27"/>
  <c r="AS28" i="26" s="1"/>
  <c r="AJ7" i="45" s="1"/>
  <c r="D24" i="27"/>
  <c r="D24" i="26" s="1"/>
  <c r="AJ26" i="27"/>
  <c r="AJ26" i="26" s="1"/>
  <c r="AA5" i="45" s="1"/>
  <c r="AC25" i="27"/>
  <c r="AC25" i="26" s="1"/>
  <c r="T4" i="45" s="1"/>
  <c r="Q28" i="27"/>
  <c r="Q28" i="26" s="1"/>
  <c r="H7" i="45" s="1"/>
  <c r="O10" i="22"/>
  <c r="O11" i="22"/>
  <c r="O14" i="22"/>
  <c r="O12" i="22"/>
  <c r="O13" i="22"/>
  <c r="M10" i="22"/>
  <c r="M12" i="22"/>
  <c r="M11" i="22"/>
  <c r="M14" i="22"/>
  <c r="M13" i="22"/>
  <c r="P23" i="22"/>
  <c r="Q22" i="22"/>
  <c r="S135" i="20"/>
  <c r="S134" i="20"/>
  <c r="S133" i="20"/>
  <c r="S131" i="20"/>
  <c r="S132" i="20"/>
  <c r="AI17" i="23"/>
  <c r="AG21" i="23" l="1"/>
  <c r="AI21" i="23" s="1"/>
  <c r="AQ21" i="23"/>
  <c r="AS21" i="23" s="1"/>
  <c r="AR20" i="23"/>
  <c r="AH20" i="23"/>
  <c r="M20" i="23"/>
  <c r="O20" i="23" s="1"/>
  <c r="C20" i="23"/>
  <c r="E20" i="23" s="1"/>
  <c r="T36" i="20"/>
  <c r="S35" i="20"/>
  <c r="AE35" i="20"/>
  <c r="Z24" i="14"/>
  <c r="Y23" i="14"/>
  <c r="AL23" i="14" s="1"/>
  <c r="U34" i="20"/>
  <c r="AD34" i="20"/>
  <c r="AN22" i="14"/>
  <c r="C26" i="10"/>
  <c r="AG18" i="53"/>
  <c r="AI18" i="53" s="1"/>
  <c r="AQ18" i="53"/>
  <c r="AS18" i="53" s="1"/>
  <c r="M18" i="53"/>
  <c r="S21" i="10"/>
  <c r="N25" i="10"/>
  <c r="L25" i="10"/>
  <c r="N17" i="53"/>
  <c r="D17" i="53"/>
  <c r="C17" i="53"/>
  <c r="E17" i="53" s="1"/>
  <c r="AR17" i="53"/>
  <c r="AH17" i="53"/>
  <c r="AR18" i="53"/>
  <c r="AH18" i="53"/>
  <c r="N18" i="53"/>
  <c r="C18" i="53"/>
  <c r="E18" i="53" s="1"/>
  <c r="D18" i="53"/>
  <c r="AH16" i="53"/>
  <c r="D16" i="53"/>
  <c r="N16" i="53"/>
  <c r="AR16" i="53"/>
  <c r="C16" i="53"/>
  <c r="U98" i="20"/>
  <c r="AF97" i="20"/>
  <c r="J97" i="20"/>
  <c r="C98" i="20"/>
  <c r="Y98" i="20" s="1"/>
  <c r="L35" i="53" s="1"/>
  <c r="I19" i="10"/>
  <c r="J21" i="10"/>
  <c r="K20" i="10"/>
  <c r="J26" i="25"/>
  <c r="I5" i="35" s="1"/>
  <c r="C26" i="25"/>
  <c r="P25" i="25"/>
  <c r="O4" i="35" s="1"/>
  <c r="X28" i="25"/>
  <c r="W7" i="35" s="1"/>
  <c r="F25" i="25"/>
  <c r="E4" i="35" s="1"/>
  <c r="R28" i="25"/>
  <c r="Q7" i="35" s="1"/>
  <c r="AJ27" i="25"/>
  <c r="AI6" i="35" s="1"/>
  <c r="AD28" i="25"/>
  <c r="AC7" i="35" s="1"/>
  <c r="P27" i="25"/>
  <c r="O6" i="35" s="1"/>
  <c r="AD27" i="25"/>
  <c r="AC6" i="35" s="1"/>
  <c r="D27" i="25"/>
  <c r="C6" i="35" s="1"/>
  <c r="AP27" i="25"/>
  <c r="AR28" i="25"/>
  <c r="X27" i="25"/>
  <c r="W6" i="35" s="1"/>
  <c r="AN27" i="25"/>
  <c r="AP26" i="25"/>
  <c r="J27" i="25"/>
  <c r="I6" i="35" s="1"/>
  <c r="Q23" i="22"/>
  <c r="P24" i="22"/>
  <c r="N20" i="23" l="1"/>
  <c r="D20" i="23"/>
  <c r="AQ22" i="23"/>
  <c r="AS22" i="23" s="1"/>
  <c r="AG22" i="23"/>
  <c r="AI22" i="23" s="1"/>
  <c r="AR21" i="23"/>
  <c r="C21" i="23"/>
  <c r="E21" i="23" s="1"/>
  <c r="AH21" i="23"/>
  <c r="M21" i="23"/>
  <c r="O21" i="23" s="1"/>
  <c r="I132" i="20"/>
  <c r="Z25" i="14"/>
  <c r="Y24" i="14"/>
  <c r="AL24" i="14" s="1"/>
  <c r="AG19" i="53"/>
  <c r="AI19" i="53" s="1"/>
  <c r="M19" i="53"/>
  <c r="AQ19" i="53"/>
  <c r="AS19" i="53" s="1"/>
  <c r="S22" i="10"/>
  <c r="T21" i="10"/>
  <c r="R21" i="10" s="1"/>
  <c r="Q21" i="10" s="1"/>
  <c r="U35" i="20"/>
  <c r="AD35" i="20"/>
  <c r="B27" i="23"/>
  <c r="N26" i="10"/>
  <c r="L26" i="10"/>
  <c r="C27" i="10"/>
  <c r="AN23" i="14"/>
  <c r="T37" i="20"/>
  <c r="S36" i="20"/>
  <c r="AE36" i="20"/>
  <c r="E16" i="53"/>
  <c r="H19" i="10"/>
  <c r="U99" i="20"/>
  <c r="J98" i="20"/>
  <c r="AF98" i="20"/>
  <c r="C99" i="20"/>
  <c r="Y99" i="20" s="1"/>
  <c r="L36" i="53" s="1"/>
  <c r="I134" i="20"/>
  <c r="I131" i="20"/>
  <c r="I20" i="10"/>
  <c r="J22" i="10"/>
  <c r="K21" i="10"/>
  <c r="P25" i="22"/>
  <c r="Q24" i="22"/>
  <c r="I135" i="20"/>
  <c r="I133" i="20"/>
  <c r="G33" i="20"/>
  <c r="AC33" i="20" s="1"/>
  <c r="AF25" i="23" s="1"/>
  <c r="M22" i="23" l="1"/>
  <c r="O22" i="23" s="1"/>
  <c r="C22" i="23"/>
  <c r="E22" i="23" s="1"/>
  <c r="AR22" i="23"/>
  <c r="AH22" i="23"/>
  <c r="D21" i="23"/>
  <c r="N21" i="23"/>
  <c r="AG23" i="23"/>
  <c r="AI23" i="23" s="1"/>
  <c r="AQ23" i="23"/>
  <c r="AS23" i="23" s="1"/>
  <c r="T38" i="20"/>
  <c r="S37" i="20"/>
  <c r="AE37" i="20"/>
  <c r="N19" i="53"/>
  <c r="AH19" i="53"/>
  <c r="C19" i="53"/>
  <c r="E19" i="53" s="1"/>
  <c r="D19" i="53"/>
  <c r="AR19" i="53"/>
  <c r="N27" i="10"/>
  <c r="L27" i="10"/>
  <c r="AQ20" i="53"/>
  <c r="AS20" i="53" s="1"/>
  <c r="M20" i="53"/>
  <c r="AG20" i="53"/>
  <c r="AI20" i="53" s="1"/>
  <c r="S23" i="10"/>
  <c r="T22" i="10"/>
  <c r="R22" i="10" s="1"/>
  <c r="Q22" i="10" s="1"/>
  <c r="AN24" i="14"/>
  <c r="C28" i="10"/>
  <c r="U36" i="20"/>
  <c r="AD36" i="20"/>
  <c r="B28" i="23"/>
  <c r="Z26" i="14"/>
  <c r="Y25" i="14"/>
  <c r="AL25" i="14" s="1"/>
  <c r="H20" i="10"/>
  <c r="AF99" i="20"/>
  <c r="J99" i="20"/>
  <c r="U100" i="20"/>
  <c r="C100" i="20"/>
  <c r="Y100" i="20" s="1"/>
  <c r="L37" i="53" s="1"/>
  <c r="I21" i="10"/>
  <c r="K22" i="10"/>
  <c r="I22" i="10" s="1"/>
  <c r="H22" i="10" s="1"/>
  <c r="J23" i="10"/>
  <c r="AQ25" i="23" s="1"/>
  <c r="Q25" i="22"/>
  <c r="P26" i="22"/>
  <c r="G34" i="20"/>
  <c r="AC34" i="20" s="1"/>
  <c r="AF26" i="23" s="1"/>
  <c r="C33" i="20"/>
  <c r="Y33" i="20" s="1"/>
  <c r="L25" i="23" s="1"/>
  <c r="L5" i="22"/>
  <c r="L11" i="22" s="1"/>
  <c r="N22" i="23" l="1"/>
  <c r="D22" i="23"/>
  <c r="AG24" i="23"/>
  <c r="AI24" i="23" s="1"/>
  <c r="AQ24" i="23"/>
  <c r="AS24" i="23" s="1"/>
  <c r="AR23" i="23"/>
  <c r="C23" i="23"/>
  <c r="E23" i="23" s="1"/>
  <c r="AH23" i="23"/>
  <c r="M23" i="23"/>
  <c r="O23" i="23" s="1"/>
  <c r="AN25" i="14"/>
  <c r="C29" i="10"/>
  <c r="AH20" i="53"/>
  <c r="N20" i="53"/>
  <c r="C20" i="53"/>
  <c r="E20" i="53" s="1"/>
  <c r="AR20" i="53"/>
  <c r="D20" i="53"/>
  <c r="Z27" i="14"/>
  <c r="Y26" i="14"/>
  <c r="AL26" i="14" s="1"/>
  <c r="AG21" i="53"/>
  <c r="AI21" i="53" s="1"/>
  <c r="AQ21" i="53"/>
  <c r="AS21" i="53" s="1"/>
  <c r="M21" i="53"/>
  <c r="S24" i="10"/>
  <c r="T23" i="10"/>
  <c r="R23" i="10" s="1"/>
  <c r="Q23" i="10" s="1"/>
  <c r="B29" i="23"/>
  <c r="U37" i="20"/>
  <c r="AD37" i="20"/>
  <c r="N28" i="10"/>
  <c r="L28" i="10"/>
  <c r="T39" i="20"/>
  <c r="S38" i="20"/>
  <c r="AE38" i="20"/>
  <c r="H21" i="10"/>
  <c r="U101" i="20"/>
  <c r="AF100" i="20"/>
  <c r="J100" i="20"/>
  <c r="C101" i="20"/>
  <c r="Y101" i="20" s="1"/>
  <c r="L38" i="53" s="1"/>
  <c r="AS25" i="23"/>
  <c r="K23" i="10"/>
  <c r="J24" i="10"/>
  <c r="AQ26" i="23" s="1"/>
  <c r="P27" i="22"/>
  <c r="Q26" i="22"/>
  <c r="G35" i="20"/>
  <c r="AC35" i="20" s="1"/>
  <c r="AF27" i="23" s="1"/>
  <c r="C34" i="20"/>
  <c r="Y34" i="20" s="1"/>
  <c r="L26" i="23" s="1"/>
  <c r="AP25" i="23"/>
  <c r="J33" i="20"/>
  <c r="L14" i="22"/>
  <c r="L10" i="22"/>
  <c r="L12" i="22"/>
  <c r="L13" i="22"/>
  <c r="AG25" i="23" l="1"/>
  <c r="AI25" i="23" s="1"/>
  <c r="I23" i="10"/>
  <c r="H23" i="10" s="1"/>
  <c r="D23" i="23"/>
  <c r="N23" i="23"/>
  <c r="M24" i="23"/>
  <c r="C24" i="23"/>
  <c r="E24" i="23" s="1"/>
  <c r="AR24" i="23"/>
  <c r="AH24" i="23"/>
  <c r="B30" i="23"/>
  <c r="Z28" i="14"/>
  <c r="Y27" i="14"/>
  <c r="AL27" i="14" s="1"/>
  <c r="U38" i="20"/>
  <c r="AD38" i="20"/>
  <c r="AH21" i="53"/>
  <c r="AR21" i="53"/>
  <c r="C21" i="53"/>
  <c r="E21" i="53" s="1"/>
  <c r="N21" i="53"/>
  <c r="D21" i="53"/>
  <c r="N29" i="10"/>
  <c r="L29" i="10"/>
  <c r="T40" i="20"/>
  <c r="S39" i="20"/>
  <c r="AE39" i="20"/>
  <c r="AG22" i="53"/>
  <c r="AI22" i="53" s="1"/>
  <c r="AQ22" i="53"/>
  <c r="AS22" i="53" s="1"/>
  <c r="M22" i="53"/>
  <c r="S25" i="10"/>
  <c r="T24" i="10"/>
  <c r="AN26" i="14"/>
  <c r="C30" i="10"/>
  <c r="J101" i="20"/>
  <c r="AF101" i="20"/>
  <c r="C102" i="20"/>
  <c r="Y102" i="20" s="1"/>
  <c r="L39" i="53" s="1"/>
  <c r="U102" i="20"/>
  <c r="AS26" i="23"/>
  <c r="J25" i="10"/>
  <c r="AQ27" i="23" s="1"/>
  <c r="K24" i="10"/>
  <c r="AG26" i="23" s="1"/>
  <c r="AI26" i="23" s="1"/>
  <c r="Q27" i="22"/>
  <c r="P28" i="22"/>
  <c r="AP26" i="23"/>
  <c r="J34" i="20"/>
  <c r="C35" i="20"/>
  <c r="Y35" i="20" s="1"/>
  <c r="L27" i="23" s="1"/>
  <c r="G36" i="20"/>
  <c r="AC36" i="20" s="1"/>
  <c r="AF28" i="23" s="1"/>
  <c r="AF33" i="20"/>
  <c r="R24" i="10" l="1"/>
  <c r="Q24" i="10" s="1"/>
  <c r="N24" i="23"/>
  <c r="D24" i="23"/>
  <c r="O24" i="23"/>
  <c r="O25" i="23" s="1"/>
  <c r="O26" i="23" s="1"/>
  <c r="O27" i="23" s="1"/>
  <c r="O28" i="23" s="1"/>
  <c r="O29" i="23" s="1"/>
  <c r="O30" i="23" s="1"/>
  <c r="O31" i="23" s="1"/>
  <c r="O32" i="23" s="1"/>
  <c r="O33" i="23" s="1"/>
  <c r="O34" i="23" s="1"/>
  <c r="O35" i="23" s="1"/>
  <c r="O36" i="23" s="1"/>
  <c r="O37" i="23" s="1"/>
  <c r="O38" i="23" s="1"/>
  <c r="O39" i="23" s="1"/>
  <c r="O40" i="23" s="1"/>
  <c r="O41" i="23" s="1"/>
  <c r="O42" i="23" s="1"/>
  <c r="O43" i="23" s="1"/>
  <c r="O44" i="23" s="1"/>
  <c r="O45" i="23" s="1"/>
  <c r="O46" i="23" s="1"/>
  <c r="O47" i="23" s="1"/>
  <c r="O48" i="23" s="1"/>
  <c r="O49" i="23" s="1"/>
  <c r="O50" i="23" s="1"/>
  <c r="O51" i="23" s="1"/>
  <c r="O52" i="23" s="1"/>
  <c r="O53" i="23" s="1"/>
  <c r="M25" i="23"/>
  <c r="M26" i="23" s="1"/>
  <c r="M27" i="23" s="1"/>
  <c r="M28" i="23" s="1"/>
  <c r="M29" i="23" s="1"/>
  <c r="M30" i="23" s="1"/>
  <c r="M31" i="23" s="1"/>
  <c r="M32" i="23" s="1"/>
  <c r="M33" i="23" s="1"/>
  <c r="M34" i="23" s="1"/>
  <c r="M35" i="23" s="1"/>
  <c r="M36" i="23" s="1"/>
  <c r="M37" i="23" s="1"/>
  <c r="M38" i="23" s="1"/>
  <c r="M39" i="23" s="1"/>
  <c r="M40" i="23" s="1"/>
  <c r="M41" i="23" s="1"/>
  <c r="M42" i="23" s="1"/>
  <c r="M43" i="23" s="1"/>
  <c r="M44" i="23" s="1"/>
  <c r="M45" i="23" s="1"/>
  <c r="M46" i="23" s="1"/>
  <c r="M47" i="23" s="1"/>
  <c r="M48" i="23" s="1"/>
  <c r="M49" i="23" s="1"/>
  <c r="M50" i="23" s="1"/>
  <c r="M51" i="23" s="1"/>
  <c r="M52" i="23" s="1"/>
  <c r="M53" i="23" s="1"/>
  <c r="AN27" i="14"/>
  <c r="C31" i="10"/>
  <c r="N30" i="10"/>
  <c r="L30" i="10"/>
  <c r="U39" i="20"/>
  <c r="AD39" i="20"/>
  <c r="Z29" i="14"/>
  <c r="Y28" i="14"/>
  <c r="AL28" i="14" s="1"/>
  <c r="AG23" i="53"/>
  <c r="AI23" i="53" s="1"/>
  <c r="M23" i="53"/>
  <c r="AQ23" i="53"/>
  <c r="AS23" i="53" s="1"/>
  <c r="S26" i="10"/>
  <c r="T25" i="10"/>
  <c r="R25" i="10" s="1"/>
  <c r="Q25" i="10" s="1"/>
  <c r="T41" i="20"/>
  <c r="S40" i="20"/>
  <c r="AE40" i="20"/>
  <c r="B31" i="23"/>
  <c r="AH25" i="23"/>
  <c r="C25" i="23"/>
  <c r="E25" i="23" s="1"/>
  <c r="J102" i="20"/>
  <c r="AF102" i="20"/>
  <c r="U103" i="20"/>
  <c r="C103" i="20"/>
  <c r="Y103" i="20" s="1"/>
  <c r="L40" i="53" s="1"/>
  <c r="I24" i="10"/>
  <c r="AS27" i="23"/>
  <c r="J26" i="10"/>
  <c r="AQ28" i="23" s="1"/>
  <c r="K25" i="10"/>
  <c r="AG27" i="23" s="1"/>
  <c r="P29" i="22"/>
  <c r="Q28" i="22"/>
  <c r="AF34" i="20"/>
  <c r="J35" i="20"/>
  <c r="AP27" i="23"/>
  <c r="C36" i="20"/>
  <c r="Y36" i="20" s="1"/>
  <c r="L28" i="23" s="1"/>
  <c r="G37" i="20"/>
  <c r="AC37" i="20" s="1"/>
  <c r="AF29" i="23" s="1"/>
  <c r="N22" i="53" l="1"/>
  <c r="C22" i="53"/>
  <c r="E22" i="53" s="1"/>
  <c r="AR22" i="53"/>
  <c r="D22" i="53"/>
  <c r="AH22" i="53"/>
  <c r="AQ24" i="53"/>
  <c r="AS24" i="53" s="1"/>
  <c r="AG24" i="53"/>
  <c r="AI24" i="53" s="1"/>
  <c r="M24" i="53"/>
  <c r="S27" i="10"/>
  <c r="T26" i="10"/>
  <c r="R26" i="10" s="1"/>
  <c r="Q26" i="10" s="1"/>
  <c r="B32" i="23"/>
  <c r="U40" i="20"/>
  <c r="AD40" i="20"/>
  <c r="Z30" i="14"/>
  <c r="Y29" i="14"/>
  <c r="AL29" i="14" s="1"/>
  <c r="C32" i="10"/>
  <c r="AN28" i="14"/>
  <c r="T42" i="20"/>
  <c r="S41" i="20"/>
  <c r="AE41" i="20"/>
  <c r="N31" i="10"/>
  <c r="L31" i="10"/>
  <c r="D23" i="53"/>
  <c r="N23" i="53"/>
  <c r="AR23" i="53"/>
  <c r="AH23" i="53"/>
  <c r="C23" i="53"/>
  <c r="E23" i="53" s="1"/>
  <c r="N25" i="23"/>
  <c r="AR25" i="23"/>
  <c r="D25" i="23"/>
  <c r="H24" i="10"/>
  <c r="AH26" i="23"/>
  <c r="C26" i="23"/>
  <c r="E26" i="23" s="1"/>
  <c r="AF103" i="20"/>
  <c r="J103" i="20"/>
  <c r="U104" i="20"/>
  <c r="C104" i="20"/>
  <c r="Y104" i="20" s="1"/>
  <c r="L41" i="53" s="1"/>
  <c r="I25" i="10"/>
  <c r="H25" i="10" s="1"/>
  <c r="AS28" i="23"/>
  <c r="K26" i="10"/>
  <c r="AG28" i="23" s="1"/>
  <c r="AI28" i="23" s="1"/>
  <c r="J27" i="10"/>
  <c r="AQ29" i="23" s="1"/>
  <c r="AI27" i="23"/>
  <c r="Q29" i="22"/>
  <c r="P30" i="22"/>
  <c r="AF35" i="20"/>
  <c r="AP28" i="23"/>
  <c r="G38" i="20"/>
  <c r="AC38" i="20" s="1"/>
  <c r="AF30" i="23" s="1"/>
  <c r="C37" i="20"/>
  <c r="Y37" i="20" s="1"/>
  <c r="L29" i="23" s="1"/>
  <c r="J36" i="20"/>
  <c r="N32" i="10" l="1"/>
  <c r="L32" i="10"/>
  <c r="U41" i="20"/>
  <c r="AD41" i="20"/>
  <c r="C33" i="10"/>
  <c r="AN29" i="14"/>
  <c r="AQ25" i="53"/>
  <c r="AS25" i="53" s="1"/>
  <c r="AG25" i="53"/>
  <c r="AI25" i="53" s="1"/>
  <c r="M25" i="53"/>
  <c r="S28" i="10"/>
  <c r="T27" i="10"/>
  <c r="R27" i="10" s="1"/>
  <c r="Q27" i="10" s="1"/>
  <c r="B33" i="23"/>
  <c r="T43" i="20"/>
  <c r="S42" i="20"/>
  <c r="AE42" i="20"/>
  <c r="Z31" i="14"/>
  <c r="Y30" i="14"/>
  <c r="AL30" i="14" s="1"/>
  <c r="AH24" i="53"/>
  <c r="N24" i="53"/>
  <c r="C24" i="53"/>
  <c r="E24" i="53" s="1"/>
  <c r="D24" i="53"/>
  <c r="AR24" i="53"/>
  <c r="D26" i="23"/>
  <c r="N26" i="23"/>
  <c r="AR26" i="23"/>
  <c r="C27" i="23"/>
  <c r="E27" i="23" s="1"/>
  <c r="AH27" i="23"/>
  <c r="U105" i="20"/>
  <c r="J104" i="20"/>
  <c r="AF104" i="20"/>
  <c r="C105" i="20"/>
  <c r="Y105" i="20" s="1"/>
  <c r="L42" i="53" s="1"/>
  <c r="I26" i="10"/>
  <c r="AS29" i="23"/>
  <c r="J28" i="10"/>
  <c r="AQ30" i="23" s="1"/>
  <c r="K27" i="10"/>
  <c r="AG29" i="23" s="1"/>
  <c r="P31" i="22"/>
  <c r="Q30" i="22"/>
  <c r="G39" i="20"/>
  <c r="AC39" i="20" s="1"/>
  <c r="AF31" i="23" s="1"/>
  <c r="C38" i="20"/>
  <c r="Y38" i="20" s="1"/>
  <c r="L30" i="23" s="1"/>
  <c r="AF36" i="20"/>
  <c r="J37" i="20"/>
  <c r="AP29" i="23"/>
  <c r="U42" i="20" l="1"/>
  <c r="AD42" i="20"/>
  <c r="N25" i="53"/>
  <c r="AH25" i="53"/>
  <c r="D25" i="53"/>
  <c r="AR25" i="53"/>
  <c r="C25" i="53"/>
  <c r="E25" i="53" s="1"/>
  <c r="AN30" i="14"/>
  <c r="C34" i="10"/>
  <c r="T44" i="20"/>
  <c r="S43" i="20"/>
  <c r="AE43" i="20"/>
  <c r="AQ26" i="53"/>
  <c r="AS26" i="53" s="1"/>
  <c r="M26" i="53"/>
  <c r="AG26" i="53"/>
  <c r="AI26" i="53" s="1"/>
  <c r="S29" i="10"/>
  <c r="T28" i="10"/>
  <c r="R28" i="10" s="1"/>
  <c r="Q28" i="10" s="1"/>
  <c r="B34" i="23"/>
  <c r="Z32" i="14"/>
  <c r="Y31" i="14"/>
  <c r="AL31" i="14" s="1"/>
  <c r="N33" i="10"/>
  <c r="L33" i="10"/>
  <c r="D27" i="23"/>
  <c r="N27" i="23"/>
  <c r="AR27" i="23"/>
  <c r="H26" i="10"/>
  <c r="C28" i="23"/>
  <c r="E28" i="23" s="1"/>
  <c r="AH28" i="23"/>
  <c r="J105" i="20"/>
  <c r="AF105" i="20"/>
  <c r="U106" i="20"/>
  <c r="C106" i="20"/>
  <c r="Y106" i="20" s="1"/>
  <c r="L43" i="53" s="1"/>
  <c r="I27" i="10"/>
  <c r="AS30" i="23"/>
  <c r="J29" i="10"/>
  <c r="AQ31" i="23" s="1"/>
  <c r="K28" i="10"/>
  <c r="AG30" i="23" s="1"/>
  <c r="AI30" i="23" s="1"/>
  <c r="AI29" i="23"/>
  <c r="Q31" i="22"/>
  <c r="P32" i="22"/>
  <c r="AF37" i="20"/>
  <c r="J38" i="20"/>
  <c r="AP30" i="23"/>
  <c r="C39" i="20"/>
  <c r="Y39" i="20" s="1"/>
  <c r="L31" i="23" s="1"/>
  <c r="G40" i="20"/>
  <c r="AC40" i="20" s="1"/>
  <c r="AF32" i="23" s="1"/>
  <c r="B35" i="23" l="1"/>
  <c r="U43" i="20"/>
  <c r="AD43" i="20"/>
  <c r="Z33" i="14"/>
  <c r="Y32" i="14"/>
  <c r="AL32" i="14" s="1"/>
  <c r="T45" i="20"/>
  <c r="S44" i="20"/>
  <c r="AE44" i="20"/>
  <c r="AQ27" i="53"/>
  <c r="AS27" i="53" s="1"/>
  <c r="M27" i="53"/>
  <c r="AG27" i="53"/>
  <c r="AI27" i="53" s="1"/>
  <c r="S30" i="10"/>
  <c r="T29" i="10"/>
  <c r="R29" i="10" s="1"/>
  <c r="Q29" i="10" s="1"/>
  <c r="AN31" i="14"/>
  <c r="C35" i="10"/>
  <c r="AR26" i="53"/>
  <c r="D26" i="53"/>
  <c r="AH26" i="53"/>
  <c r="C26" i="53"/>
  <c r="E26" i="53" s="1"/>
  <c r="N26" i="53"/>
  <c r="N34" i="10"/>
  <c r="L34" i="10"/>
  <c r="N28" i="23"/>
  <c r="AR28" i="23"/>
  <c r="H27" i="10"/>
  <c r="AH29" i="23"/>
  <c r="C29" i="23"/>
  <c r="E29" i="23" s="1"/>
  <c r="D28" i="23"/>
  <c r="C107" i="20"/>
  <c r="Y107" i="20" s="1"/>
  <c r="L44" i="53" s="1"/>
  <c r="J106" i="20"/>
  <c r="AF106" i="20"/>
  <c r="U107" i="20"/>
  <c r="I28" i="10"/>
  <c r="AS31" i="23"/>
  <c r="J30" i="10"/>
  <c r="AQ32" i="23" s="1"/>
  <c r="K29" i="10"/>
  <c r="AG31" i="23" s="1"/>
  <c r="AI31" i="23" s="1"/>
  <c r="P33" i="22"/>
  <c r="Q32" i="22"/>
  <c r="J39" i="20"/>
  <c r="AF38" i="20"/>
  <c r="C40" i="20"/>
  <c r="Y40" i="20" s="1"/>
  <c r="L32" i="23" s="1"/>
  <c r="G41" i="20"/>
  <c r="AC41" i="20" s="1"/>
  <c r="AF33" i="23" s="1"/>
  <c r="AP31" i="23"/>
  <c r="U44" i="20" l="1"/>
  <c r="AD44" i="20"/>
  <c r="B36" i="23"/>
  <c r="T46" i="20"/>
  <c r="S45" i="20"/>
  <c r="AE45" i="20"/>
  <c r="AR27" i="53"/>
  <c r="C27" i="53"/>
  <c r="E27" i="53" s="1"/>
  <c r="D27" i="53"/>
  <c r="N27" i="53"/>
  <c r="AH27" i="53"/>
  <c r="C36" i="10"/>
  <c r="AN32" i="14"/>
  <c r="N35" i="10"/>
  <c r="L35" i="10"/>
  <c r="AQ28" i="53"/>
  <c r="AS28" i="53" s="1"/>
  <c r="AG28" i="53"/>
  <c r="AI28" i="53" s="1"/>
  <c r="M28" i="53"/>
  <c r="S31" i="10"/>
  <c r="T30" i="10"/>
  <c r="R30" i="10" s="1"/>
  <c r="Q30" i="10" s="1"/>
  <c r="Z34" i="14"/>
  <c r="Y33" i="14"/>
  <c r="AL33" i="14" s="1"/>
  <c r="D29" i="23"/>
  <c r="N29" i="23"/>
  <c r="AR29" i="23"/>
  <c r="H28" i="10"/>
  <c r="AH30" i="23"/>
  <c r="C30" i="23"/>
  <c r="E30" i="23" s="1"/>
  <c r="AF107" i="20"/>
  <c r="J107" i="20"/>
  <c r="C108" i="20"/>
  <c r="Y108" i="20" s="1"/>
  <c r="L45" i="53" s="1"/>
  <c r="U108" i="20"/>
  <c r="I29" i="10"/>
  <c r="AS32" i="23"/>
  <c r="K30" i="10"/>
  <c r="AG32" i="23" s="1"/>
  <c r="AI32" i="23" s="1"/>
  <c r="J31" i="10"/>
  <c r="AQ33" i="23" s="1"/>
  <c r="Q33" i="22"/>
  <c r="P34" i="22"/>
  <c r="AP32" i="23"/>
  <c r="J40" i="20"/>
  <c r="AF39" i="20"/>
  <c r="G42" i="20"/>
  <c r="AC42" i="20" s="1"/>
  <c r="AF34" i="23" s="1"/>
  <c r="C41" i="20"/>
  <c r="Y41" i="20" s="1"/>
  <c r="L33" i="23" s="1"/>
  <c r="AQ29" i="53" l="1"/>
  <c r="AS29" i="53" s="1"/>
  <c r="AG29" i="53"/>
  <c r="AI29" i="53" s="1"/>
  <c r="M29" i="53"/>
  <c r="S32" i="10"/>
  <c r="T31" i="10"/>
  <c r="R31" i="10" s="1"/>
  <c r="Q31" i="10" s="1"/>
  <c r="C37" i="10"/>
  <c r="AN33" i="14"/>
  <c r="B37" i="23"/>
  <c r="Z35" i="14"/>
  <c r="Y34" i="14"/>
  <c r="AL34" i="14" s="1"/>
  <c r="U45" i="20"/>
  <c r="AD45" i="20"/>
  <c r="AR28" i="53"/>
  <c r="AH28" i="53"/>
  <c r="D28" i="53"/>
  <c r="N28" i="53"/>
  <c r="C28" i="53"/>
  <c r="E28" i="53" s="1"/>
  <c r="N36" i="10"/>
  <c r="L36" i="10"/>
  <c r="T47" i="20"/>
  <c r="S46" i="20"/>
  <c r="AE46" i="20"/>
  <c r="N30" i="23"/>
  <c r="AR30" i="23"/>
  <c r="H29" i="10"/>
  <c r="C31" i="23"/>
  <c r="E31" i="23" s="1"/>
  <c r="AH31" i="23"/>
  <c r="D30" i="23"/>
  <c r="AF108" i="20"/>
  <c r="J108" i="20"/>
  <c r="C109" i="20"/>
  <c r="Y109" i="20" s="1"/>
  <c r="L46" i="53" s="1"/>
  <c r="U109" i="20"/>
  <c r="I30" i="10"/>
  <c r="AS33" i="23"/>
  <c r="K31" i="10"/>
  <c r="AG33" i="23" s="1"/>
  <c r="AI33" i="23" s="1"/>
  <c r="J32" i="10"/>
  <c r="AQ34" i="23" s="1"/>
  <c r="P35" i="22"/>
  <c r="Q34" i="22"/>
  <c r="AF40" i="20"/>
  <c r="J41" i="20"/>
  <c r="G43" i="20"/>
  <c r="AC43" i="20" s="1"/>
  <c r="AF35" i="23" s="1"/>
  <c r="C42" i="20"/>
  <c r="Y42" i="20" s="1"/>
  <c r="L34" i="23" s="1"/>
  <c r="AP33" i="23"/>
  <c r="AN34" i="14" l="1"/>
  <c r="C38" i="10"/>
  <c r="AQ30" i="53"/>
  <c r="AS30" i="53" s="1"/>
  <c r="M30" i="53"/>
  <c r="AG30" i="53"/>
  <c r="AI30" i="53" s="1"/>
  <c r="S33" i="10"/>
  <c r="T32" i="10"/>
  <c r="R32" i="10" s="1"/>
  <c r="Q32" i="10" s="1"/>
  <c r="U46" i="20"/>
  <c r="AD46" i="20"/>
  <c r="Z36" i="14"/>
  <c r="Y35" i="14"/>
  <c r="AL35" i="14" s="1"/>
  <c r="N37" i="10"/>
  <c r="L37" i="10"/>
  <c r="B38" i="23"/>
  <c r="T48" i="20"/>
  <c r="S47" i="20"/>
  <c r="AE47" i="20"/>
  <c r="D29" i="53"/>
  <c r="N29" i="53"/>
  <c r="AR29" i="53"/>
  <c r="C29" i="53"/>
  <c r="E29" i="53" s="1"/>
  <c r="AH29" i="53"/>
  <c r="D31" i="23"/>
  <c r="N31" i="23"/>
  <c r="AR31" i="23"/>
  <c r="H30" i="10"/>
  <c r="C32" i="23"/>
  <c r="E32" i="23" s="1"/>
  <c r="AH32" i="23"/>
  <c r="C110" i="20"/>
  <c r="Y110" i="20" s="1"/>
  <c r="L47" i="53" s="1"/>
  <c r="U110" i="20"/>
  <c r="AF109" i="20"/>
  <c r="J109" i="20"/>
  <c r="I31" i="10"/>
  <c r="AS34" i="23"/>
  <c r="J33" i="10"/>
  <c r="AQ35" i="23" s="1"/>
  <c r="K32" i="10"/>
  <c r="AG34" i="23" s="1"/>
  <c r="AI34" i="23" s="1"/>
  <c r="Q35" i="22"/>
  <c r="P36" i="22"/>
  <c r="AF41" i="20"/>
  <c r="J42" i="20"/>
  <c r="AP34" i="23"/>
  <c r="C43" i="20"/>
  <c r="Y43" i="20" s="1"/>
  <c r="L35" i="23" s="1"/>
  <c r="G44" i="20"/>
  <c r="AC44" i="20" s="1"/>
  <c r="AF36" i="23" s="1"/>
  <c r="C39" i="10" l="1"/>
  <c r="AN35" i="14"/>
  <c r="D30" i="53"/>
  <c r="AR30" i="53"/>
  <c r="AH30" i="53"/>
  <c r="N30" i="53"/>
  <c r="C30" i="53"/>
  <c r="E30" i="53" s="1"/>
  <c r="T49" i="20"/>
  <c r="S48" i="20"/>
  <c r="AE48" i="20"/>
  <c r="Z37" i="14"/>
  <c r="Y36" i="14"/>
  <c r="AL36" i="14" s="1"/>
  <c r="AQ31" i="53"/>
  <c r="AS31" i="53" s="1"/>
  <c r="M31" i="53"/>
  <c r="AG31" i="53"/>
  <c r="AI31" i="53" s="1"/>
  <c r="S34" i="10"/>
  <c r="T33" i="10"/>
  <c r="R33" i="10" s="1"/>
  <c r="Q33" i="10" s="1"/>
  <c r="N38" i="10"/>
  <c r="L38" i="10"/>
  <c r="U47" i="20"/>
  <c r="AD47" i="20"/>
  <c r="B39" i="23"/>
  <c r="N32" i="23"/>
  <c r="AR32" i="23"/>
  <c r="D32" i="23"/>
  <c r="H31" i="10"/>
  <c r="AH33" i="23"/>
  <c r="C33" i="23"/>
  <c r="E33" i="23" s="1"/>
  <c r="C111" i="20"/>
  <c r="Y111" i="20" s="1"/>
  <c r="L48" i="53" s="1"/>
  <c r="J110" i="20"/>
  <c r="AF110" i="20"/>
  <c r="U111" i="20"/>
  <c r="I32" i="10"/>
  <c r="AS35" i="23"/>
  <c r="J34" i="10"/>
  <c r="AQ36" i="23" s="1"/>
  <c r="K33" i="10"/>
  <c r="AG35" i="23" s="1"/>
  <c r="AI35" i="23" s="1"/>
  <c r="P37" i="22"/>
  <c r="Q36" i="22"/>
  <c r="C44" i="20"/>
  <c r="Y44" i="20" s="1"/>
  <c r="L36" i="23" s="1"/>
  <c r="G45" i="20"/>
  <c r="AC45" i="20" s="1"/>
  <c r="AF37" i="23" s="1"/>
  <c r="AP35" i="23"/>
  <c r="J43" i="20"/>
  <c r="AF42" i="20"/>
  <c r="C40" i="10" l="1"/>
  <c r="AN36" i="14"/>
  <c r="B40" i="23"/>
  <c r="Z38" i="14"/>
  <c r="Y37" i="14"/>
  <c r="AL37" i="14" s="1"/>
  <c r="AQ32" i="53"/>
  <c r="AS32" i="53" s="1"/>
  <c r="AG32" i="53"/>
  <c r="AI32" i="53" s="1"/>
  <c r="M32" i="53"/>
  <c r="S35" i="10"/>
  <c r="T34" i="10"/>
  <c r="R34" i="10" s="1"/>
  <c r="Q34" i="10" s="1"/>
  <c r="T50" i="20"/>
  <c r="S49" i="20"/>
  <c r="AE49" i="20"/>
  <c r="AR31" i="53"/>
  <c r="D31" i="53"/>
  <c r="AH31" i="53"/>
  <c r="C31" i="53"/>
  <c r="E31" i="53" s="1"/>
  <c r="N31" i="53"/>
  <c r="U48" i="20"/>
  <c r="AD48" i="20"/>
  <c r="N39" i="10"/>
  <c r="L39" i="10"/>
  <c r="D33" i="23"/>
  <c r="N33" i="23"/>
  <c r="AR33" i="23"/>
  <c r="H32" i="10"/>
  <c r="AH34" i="23"/>
  <c r="C34" i="23"/>
  <c r="E34" i="23" s="1"/>
  <c r="AF111" i="20"/>
  <c r="J111" i="20"/>
  <c r="U112" i="20"/>
  <c r="C112" i="20"/>
  <c r="Y112" i="20" s="1"/>
  <c r="L49" i="53" s="1"/>
  <c r="I33" i="10"/>
  <c r="AS36" i="23"/>
  <c r="K34" i="10"/>
  <c r="AG36" i="23" s="1"/>
  <c r="AI36" i="23" s="1"/>
  <c r="J35" i="10"/>
  <c r="AQ37" i="23" s="1"/>
  <c r="Q37" i="22"/>
  <c r="P38" i="22"/>
  <c r="G46" i="20"/>
  <c r="AC46" i="20" s="1"/>
  <c r="AF38" i="23" s="1"/>
  <c r="C45" i="20"/>
  <c r="Y45" i="20" s="1"/>
  <c r="L37" i="23" s="1"/>
  <c r="J44" i="20"/>
  <c r="AF43" i="20"/>
  <c r="AP36" i="23"/>
  <c r="T51" i="20" l="1"/>
  <c r="S50" i="20"/>
  <c r="AE50" i="20"/>
  <c r="B41" i="23"/>
  <c r="AQ33" i="53"/>
  <c r="AS33" i="53" s="1"/>
  <c r="AG33" i="53"/>
  <c r="AI33" i="53" s="1"/>
  <c r="M33" i="53"/>
  <c r="S36" i="10"/>
  <c r="T35" i="10"/>
  <c r="R35" i="10" s="1"/>
  <c r="Q35" i="10" s="1"/>
  <c r="AN37" i="14"/>
  <c r="C41" i="10"/>
  <c r="AR32" i="53"/>
  <c r="N32" i="53"/>
  <c r="AH32" i="53"/>
  <c r="C32" i="53"/>
  <c r="E32" i="53" s="1"/>
  <c r="D32" i="53"/>
  <c r="U49" i="20"/>
  <c r="AD49" i="20"/>
  <c r="Z39" i="14"/>
  <c r="Y38" i="14"/>
  <c r="AL38" i="14" s="1"/>
  <c r="N40" i="10"/>
  <c r="L40" i="10"/>
  <c r="N34" i="23"/>
  <c r="AR34" i="23"/>
  <c r="H33" i="10"/>
  <c r="C35" i="23"/>
  <c r="E35" i="23" s="1"/>
  <c r="AH35" i="23"/>
  <c r="D34" i="23"/>
  <c r="AF112" i="20"/>
  <c r="J112" i="20"/>
  <c r="I34" i="10"/>
  <c r="AS37" i="23"/>
  <c r="J36" i="10"/>
  <c r="AQ38" i="23" s="1"/>
  <c r="K35" i="10"/>
  <c r="AG37" i="23" s="1"/>
  <c r="AI37" i="23" s="1"/>
  <c r="P39" i="22"/>
  <c r="Q38" i="22"/>
  <c r="AF44" i="20"/>
  <c r="J45" i="20"/>
  <c r="AP37" i="23"/>
  <c r="G47" i="20"/>
  <c r="AC47" i="20" s="1"/>
  <c r="AF39" i="23" s="1"/>
  <c r="C46" i="20"/>
  <c r="Y46" i="20" s="1"/>
  <c r="L38" i="23" s="1"/>
  <c r="Z40" i="14" l="1"/>
  <c r="Y39" i="14"/>
  <c r="AL39" i="14" s="1"/>
  <c r="N41" i="10"/>
  <c r="L41" i="10"/>
  <c r="B42" i="23"/>
  <c r="AR33" i="53"/>
  <c r="D33" i="53"/>
  <c r="AH33" i="53"/>
  <c r="N33" i="53"/>
  <c r="C33" i="53"/>
  <c r="U50" i="20"/>
  <c r="AD50" i="20"/>
  <c r="AN38" i="14"/>
  <c r="C42" i="10"/>
  <c r="AQ34" i="53"/>
  <c r="AS34" i="53" s="1"/>
  <c r="M34" i="53"/>
  <c r="AG34" i="53"/>
  <c r="AI34" i="53" s="1"/>
  <c r="T36" i="10"/>
  <c r="R36" i="10" s="1"/>
  <c r="Q36" i="10" s="1"/>
  <c r="S37" i="10"/>
  <c r="T52" i="20"/>
  <c r="S51" i="20"/>
  <c r="AE51" i="20"/>
  <c r="N35" i="23"/>
  <c r="AR35" i="23"/>
  <c r="H34" i="10"/>
  <c r="C36" i="23"/>
  <c r="E36" i="23" s="1"/>
  <c r="AH36" i="23"/>
  <c r="D35" i="23"/>
  <c r="I35" i="10"/>
  <c r="AS38" i="23"/>
  <c r="J37" i="10"/>
  <c r="AQ39" i="23" s="1"/>
  <c r="K36" i="10"/>
  <c r="AG38" i="23" s="1"/>
  <c r="AI38" i="23" s="1"/>
  <c r="Q39" i="22"/>
  <c r="P40" i="22"/>
  <c r="AF45" i="20"/>
  <c r="J46" i="20"/>
  <c r="AP38" i="23"/>
  <c r="C47" i="20"/>
  <c r="Y47" i="20" s="1"/>
  <c r="L39" i="23" s="1"/>
  <c r="G48" i="20"/>
  <c r="AC48" i="20" s="1"/>
  <c r="AF40" i="23" s="1"/>
  <c r="M35" i="53" l="1"/>
  <c r="AQ35" i="53"/>
  <c r="AS35" i="53" s="1"/>
  <c r="AG35" i="53"/>
  <c r="AI35" i="53" s="1"/>
  <c r="S38" i="10"/>
  <c r="T37" i="10"/>
  <c r="R37" i="10" s="1"/>
  <c r="Q37" i="10" s="1"/>
  <c r="B43" i="23"/>
  <c r="C34" i="53"/>
  <c r="E34" i="53" s="1"/>
  <c r="N34" i="53"/>
  <c r="AR34" i="53"/>
  <c r="D34" i="53"/>
  <c r="AH34" i="53"/>
  <c r="N42" i="10"/>
  <c r="L42" i="10"/>
  <c r="E33" i="53"/>
  <c r="U51" i="20"/>
  <c r="AD51" i="20"/>
  <c r="AN39" i="14"/>
  <c r="C43" i="10"/>
  <c r="T53" i="20"/>
  <c r="S52" i="20"/>
  <c r="AE52" i="20"/>
  <c r="Z41" i="14"/>
  <c r="Y40" i="14"/>
  <c r="AL40" i="14" s="1"/>
  <c r="N36" i="23"/>
  <c r="AR36" i="23"/>
  <c r="D36" i="23"/>
  <c r="H35" i="10"/>
  <c r="C37" i="23"/>
  <c r="E37" i="23" s="1"/>
  <c r="AH37" i="23"/>
  <c r="I36" i="10"/>
  <c r="AS39" i="23"/>
  <c r="J38" i="10"/>
  <c r="AQ40" i="23" s="1"/>
  <c r="K37" i="10"/>
  <c r="AG39" i="23" s="1"/>
  <c r="AI39" i="23" s="1"/>
  <c r="P41" i="22"/>
  <c r="Q40" i="22"/>
  <c r="AP39" i="23"/>
  <c r="C48" i="20"/>
  <c r="Y48" i="20" s="1"/>
  <c r="L40" i="23" s="1"/>
  <c r="G49" i="20"/>
  <c r="AC49" i="20" s="1"/>
  <c r="AF41" i="23" s="1"/>
  <c r="J47" i="20"/>
  <c r="AF46" i="20"/>
  <c r="N43" i="10" l="1"/>
  <c r="L43" i="10"/>
  <c r="AQ36" i="53"/>
  <c r="AS36" i="53" s="1"/>
  <c r="AG36" i="53"/>
  <c r="AI36" i="53" s="1"/>
  <c r="M36" i="53"/>
  <c r="S39" i="10"/>
  <c r="T38" i="10"/>
  <c r="R38" i="10" s="1"/>
  <c r="Q38" i="10" s="1"/>
  <c r="C44" i="10"/>
  <c r="AN40" i="14"/>
  <c r="U52" i="20"/>
  <c r="AD52" i="20"/>
  <c r="B44" i="23"/>
  <c r="Z42" i="14"/>
  <c r="Y41" i="14"/>
  <c r="AL41" i="14" s="1"/>
  <c r="T54" i="20"/>
  <c r="S53" i="20"/>
  <c r="AE53" i="20"/>
  <c r="AH35" i="53"/>
  <c r="C35" i="53"/>
  <c r="AR35" i="53"/>
  <c r="D35" i="53"/>
  <c r="N35" i="53"/>
  <c r="N37" i="23"/>
  <c r="AR37" i="23"/>
  <c r="D37" i="23"/>
  <c r="H36" i="10"/>
  <c r="AH38" i="23"/>
  <c r="C38" i="23"/>
  <c r="E38" i="23" s="1"/>
  <c r="I37" i="10"/>
  <c r="AS40" i="23"/>
  <c r="K38" i="10"/>
  <c r="AG40" i="23" s="1"/>
  <c r="AI40" i="23" s="1"/>
  <c r="J39" i="10"/>
  <c r="AQ41" i="23" s="1"/>
  <c r="Q41" i="22"/>
  <c r="P42" i="22"/>
  <c r="AF47" i="20"/>
  <c r="AP40" i="23"/>
  <c r="G50" i="20"/>
  <c r="AC50" i="20" s="1"/>
  <c r="AF42" i="23" s="1"/>
  <c r="C49" i="20"/>
  <c r="Y49" i="20" s="1"/>
  <c r="L41" i="23" s="1"/>
  <c r="J48" i="20"/>
  <c r="N44" i="10" l="1"/>
  <c r="L44" i="10"/>
  <c r="E35" i="53"/>
  <c r="T55" i="20"/>
  <c r="S54" i="20"/>
  <c r="AE54" i="20"/>
  <c r="AN41" i="14"/>
  <c r="C45" i="10"/>
  <c r="AR36" i="53"/>
  <c r="D36" i="53"/>
  <c r="AH36" i="53"/>
  <c r="C36" i="53"/>
  <c r="E36" i="53" s="1"/>
  <c r="N36" i="53"/>
  <c r="Z43" i="14"/>
  <c r="Y42" i="14"/>
  <c r="AL42" i="14" s="1"/>
  <c r="AQ37" i="53"/>
  <c r="AS37" i="53" s="1"/>
  <c r="AG37" i="53"/>
  <c r="AI37" i="53" s="1"/>
  <c r="M37" i="53"/>
  <c r="T39" i="10"/>
  <c r="R39" i="10" s="1"/>
  <c r="Q39" i="10" s="1"/>
  <c r="S40" i="10"/>
  <c r="B45" i="23"/>
  <c r="U53" i="20"/>
  <c r="AD53" i="20"/>
  <c r="N38" i="23"/>
  <c r="AR38" i="23"/>
  <c r="H37" i="10"/>
  <c r="C39" i="23"/>
  <c r="E39" i="23" s="1"/>
  <c r="AH39" i="23"/>
  <c r="D38" i="23"/>
  <c r="I38" i="10"/>
  <c r="AS41" i="23"/>
  <c r="K39" i="10"/>
  <c r="AG41" i="23" s="1"/>
  <c r="AI41" i="23" s="1"/>
  <c r="J40" i="10"/>
  <c r="AQ42" i="23" s="1"/>
  <c r="P43" i="22"/>
  <c r="Q42" i="22"/>
  <c r="AP41" i="23"/>
  <c r="G51" i="20"/>
  <c r="AC51" i="20" s="1"/>
  <c r="AF43" i="23" s="1"/>
  <c r="C50" i="20"/>
  <c r="Y50" i="20" s="1"/>
  <c r="L42" i="23" s="1"/>
  <c r="AF48" i="20"/>
  <c r="J49" i="20"/>
  <c r="AH37" i="53" l="1"/>
  <c r="N37" i="53"/>
  <c r="AR37" i="53"/>
  <c r="C37" i="53"/>
  <c r="D37" i="53"/>
  <c r="Z44" i="14"/>
  <c r="Y43" i="14"/>
  <c r="AL43" i="14" s="1"/>
  <c r="U54" i="20"/>
  <c r="AD54" i="20"/>
  <c r="B46" i="23"/>
  <c r="AN42" i="14"/>
  <c r="C46" i="10"/>
  <c r="AQ38" i="53"/>
  <c r="AS38" i="53" s="1"/>
  <c r="M38" i="53"/>
  <c r="AG38" i="53"/>
  <c r="AI38" i="53" s="1"/>
  <c r="T40" i="10"/>
  <c r="R40" i="10" s="1"/>
  <c r="Q40" i="10" s="1"/>
  <c r="S41" i="10"/>
  <c r="N45" i="10"/>
  <c r="L45" i="10"/>
  <c r="T56" i="20"/>
  <c r="S55" i="20"/>
  <c r="AE55" i="20"/>
  <c r="N39" i="23"/>
  <c r="AR39" i="23"/>
  <c r="H38" i="10"/>
  <c r="C40" i="23"/>
  <c r="E40" i="23" s="1"/>
  <c r="AH40" i="23"/>
  <c r="D39" i="23"/>
  <c r="I39" i="10"/>
  <c r="AS42" i="23"/>
  <c r="J41" i="10"/>
  <c r="AQ43" i="23" s="1"/>
  <c r="K40" i="10"/>
  <c r="AG42" i="23" s="1"/>
  <c r="AI42" i="23" s="1"/>
  <c r="Q43" i="22"/>
  <c r="P44" i="22"/>
  <c r="AF49" i="20"/>
  <c r="AP42" i="23"/>
  <c r="J50" i="20"/>
  <c r="C51" i="20"/>
  <c r="Y51" i="20" s="1"/>
  <c r="L43" i="23" s="1"/>
  <c r="G52" i="20"/>
  <c r="AC52" i="20" s="1"/>
  <c r="AF44" i="23" s="1"/>
  <c r="B47" i="23" l="1"/>
  <c r="E37" i="53"/>
  <c r="C47" i="10"/>
  <c r="AN43" i="14"/>
  <c r="U55" i="20"/>
  <c r="AD55" i="20"/>
  <c r="M39" i="53"/>
  <c r="AG39" i="53"/>
  <c r="AI39" i="53" s="1"/>
  <c r="AQ39" i="53"/>
  <c r="AS39" i="53" s="1"/>
  <c r="S42" i="10"/>
  <c r="T41" i="10"/>
  <c r="R41" i="10" s="1"/>
  <c r="Q41" i="10" s="1"/>
  <c r="Z45" i="14"/>
  <c r="Y44" i="14"/>
  <c r="AL44" i="14" s="1"/>
  <c r="T57" i="20"/>
  <c r="S56" i="20"/>
  <c r="AE56" i="20"/>
  <c r="C38" i="53"/>
  <c r="E38" i="53" s="1"/>
  <c r="AH38" i="53"/>
  <c r="AR38" i="53"/>
  <c r="D38" i="53"/>
  <c r="N38" i="53"/>
  <c r="N46" i="10"/>
  <c r="L46" i="10"/>
  <c r="D40" i="23"/>
  <c r="N40" i="23"/>
  <c r="AR40" i="23"/>
  <c r="H39" i="10"/>
  <c r="AH41" i="23"/>
  <c r="C41" i="23"/>
  <c r="E41" i="23" s="1"/>
  <c r="I40" i="10"/>
  <c r="AS43" i="23"/>
  <c r="J42" i="10"/>
  <c r="AQ44" i="23" s="1"/>
  <c r="K41" i="10"/>
  <c r="AG43" i="23" s="1"/>
  <c r="AI43" i="23" s="1"/>
  <c r="P45" i="22"/>
  <c r="Q44" i="22"/>
  <c r="J51" i="20"/>
  <c r="AF50" i="20"/>
  <c r="AP43" i="23"/>
  <c r="C52" i="20"/>
  <c r="Y52" i="20" s="1"/>
  <c r="L44" i="23" s="1"/>
  <c r="G53" i="20"/>
  <c r="AC53" i="20" s="1"/>
  <c r="AF45" i="23" s="1"/>
  <c r="C48" i="10" l="1"/>
  <c r="AN44" i="14"/>
  <c r="T58" i="20"/>
  <c r="S57" i="20"/>
  <c r="AE57" i="20"/>
  <c r="AQ40" i="53"/>
  <c r="AS40" i="53" s="1"/>
  <c r="AG40" i="53"/>
  <c r="AI40" i="53" s="1"/>
  <c r="M40" i="53"/>
  <c r="S43" i="10"/>
  <c r="T42" i="10"/>
  <c r="R42" i="10" s="1"/>
  <c r="Q42" i="10" s="1"/>
  <c r="Z46" i="14"/>
  <c r="Y45" i="14"/>
  <c r="AL45" i="14" s="1"/>
  <c r="B48" i="23"/>
  <c r="U56" i="20"/>
  <c r="AD56" i="20"/>
  <c r="AR39" i="53"/>
  <c r="D39" i="53"/>
  <c r="AH39" i="53"/>
  <c r="N39" i="53"/>
  <c r="C39" i="53"/>
  <c r="E39" i="53" s="1"/>
  <c r="N47" i="10"/>
  <c r="L47" i="10"/>
  <c r="N41" i="23"/>
  <c r="AR41" i="23"/>
  <c r="H40" i="10"/>
  <c r="AH42" i="23"/>
  <c r="C42" i="23"/>
  <c r="E42" i="23" s="1"/>
  <c r="D41" i="23"/>
  <c r="I41" i="10"/>
  <c r="AS44" i="23"/>
  <c r="K42" i="10"/>
  <c r="AG44" i="23" s="1"/>
  <c r="AI44" i="23" s="1"/>
  <c r="J43" i="10"/>
  <c r="AQ45" i="23" s="1"/>
  <c r="Q45" i="22"/>
  <c r="P46" i="22"/>
  <c r="AF51" i="20"/>
  <c r="G54" i="20"/>
  <c r="AC54" i="20" s="1"/>
  <c r="AF46" i="23" s="1"/>
  <c r="C53" i="20"/>
  <c r="Y53" i="20" s="1"/>
  <c r="L45" i="23" s="1"/>
  <c r="AP44" i="23"/>
  <c r="J52" i="20"/>
  <c r="N40" i="53" l="1"/>
  <c r="AH40" i="53"/>
  <c r="C40" i="53"/>
  <c r="D40" i="53"/>
  <c r="AR40" i="53"/>
  <c r="B49" i="23"/>
  <c r="Z47" i="14"/>
  <c r="Y47" i="14" s="1"/>
  <c r="AL47" i="14" s="1"/>
  <c r="Y46" i="14"/>
  <c r="AL46" i="14" s="1"/>
  <c r="T59" i="20"/>
  <c r="S58" i="20"/>
  <c r="AE58" i="20"/>
  <c r="AQ41" i="53"/>
  <c r="AS41" i="53" s="1"/>
  <c r="AG41" i="53"/>
  <c r="AI41" i="53" s="1"/>
  <c r="M41" i="53"/>
  <c r="T43" i="10"/>
  <c r="R43" i="10" s="1"/>
  <c r="Q43" i="10" s="1"/>
  <c r="S44" i="10"/>
  <c r="AN45" i="14"/>
  <c r="C49" i="10"/>
  <c r="U57" i="20"/>
  <c r="AD57" i="20"/>
  <c r="N48" i="10"/>
  <c r="L48" i="10"/>
  <c r="N42" i="23"/>
  <c r="AR42" i="23"/>
  <c r="H41" i="10"/>
  <c r="C43" i="23"/>
  <c r="E43" i="23" s="1"/>
  <c r="AH43" i="23"/>
  <c r="D42" i="23"/>
  <c r="I42" i="10"/>
  <c r="AS45" i="23"/>
  <c r="J44" i="10"/>
  <c r="AQ46" i="23" s="1"/>
  <c r="K43" i="10"/>
  <c r="AG45" i="23" s="1"/>
  <c r="AI45" i="23" s="1"/>
  <c r="P47" i="22"/>
  <c r="Q46" i="22"/>
  <c r="AP45" i="23"/>
  <c r="G55" i="20"/>
  <c r="AC55" i="20" s="1"/>
  <c r="AF47" i="23" s="1"/>
  <c r="C54" i="20"/>
  <c r="Y54" i="20" s="1"/>
  <c r="L46" i="23" s="1"/>
  <c r="J53" i="20"/>
  <c r="AF52" i="20"/>
  <c r="AH41" i="53" l="1"/>
  <c r="C41" i="53"/>
  <c r="E41" i="53" s="1"/>
  <c r="N41" i="53"/>
  <c r="D41" i="53"/>
  <c r="AR41" i="53"/>
  <c r="C51" i="10"/>
  <c r="AN47" i="14"/>
  <c r="B50" i="23"/>
  <c r="N49" i="10"/>
  <c r="L49" i="10"/>
  <c r="U58" i="20"/>
  <c r="AD58" i="20"/>
  <c r="E40" i="53"/>
  <c r="T60" i="20"/>
  <c r="S59" i="20"/>
  <c r="AE59" i="20"/>
  <c r="AQ42" i="53"/>
  <c r="AS42" i="53" s="1"/>
  <c r="M42" i="53"/>
  <c r="AG42" i="53"/>
  <c r="AI42" i="53" s="1"/>
  <c r="S45" i="10"/>
  <c r="T44" i="10"/>
  <c r="R44" i="10" s="1"/>
  <c r="Q44" i="10" s="1"/>
  <c r="AN46" i="14"/>
  <c r="C50" i="10"/>
  <c r="N43" i="23"/>
  <c r="AR43" i="23"/>
  <c r="H42" i="10"/>
  <c r="C44" i="23"/>
  <c r="E44" i="23" s="1"/>
  <c r="AH44" i="23"/>
  <c r="D43" i="23"/>
  <c r="I43" i="10"/>
  <c r="AS46" i="23"/>
  <c r="J45" i="10"/>
  <c r="AQ47" i="23" s="1"/>
  <c r="K44" i="10"/>
  <c r="AG46" i="23" s="1"/>
  <c r="AI46" i="23" s="1"/>
  <c r="Q47" i="22"/>
  <c r="P48" i="22"/>
  <c r="J54" i="20"/>
  <c r="AP46" i="23"/>
  <c r="AF53" i="20"/>
  <c r="C55" i="20"/>
  <c r="Y55" i="20" s="1"/>
  <c r="L47" i="23" s="1"/>
  <c r="G56" i="20"/>
  <c r="AC56" i="20" s="1"/>
  <c r="AF48" i="23" s="1"/>
  <c r="AH42" i="53" l="1"/>
  <c r="D42" i="53"/>
  <c r="N42" i="53"/>
  <c r="C42" i="53"/>
  <c r="E42" i="53" s="1"/>
  <c r="AR42" i="53"/>
  <c r="T61" i="20"/>
  <c r="S60" i="20"/>
  <c r="AE60" i="20"/>
  <c r="B51" i="23"/>
  <c r="AQ43" i="53"/>
  <c r="AS43" i="53" s="1"/>
  <c r="M43" i="53"/>
  <c r="AG43" i="53"/>
  <c r="AI43" i="53" s="1"/>
  <c r="T45" i="10"/>
  <c r="R45" i="10" s="1"/>
  <c r="Q45" i="10" s="1"/>
  <c r="S46" i="10"/>
  <c r="N51" i="10"/>
  <c r="L51" i="10"/>
  <c r="N50" i="10"/>
  <c r="L50" i="10"/>
  <c r="U59" i="20"/>
  <c r="AD59" i="20"/>
  <c r="D44" i="23"/>
  <c r="N44" i="23"/>
  <c r="AR44" i="23"/>
  <c r="H43" i="10"/>
  <c r="C45" i="23"/>
  <c r="E45" i="23" s="1"/>
  <c r="AH45" i="23"/>
  <c r="I44" i="10"/>
  <c r="AS47" i="23"/>
  <c r="J46" i="10"/>
  <c r="AQ48" i="23" s="1"/>
  <c r="K45" i="10"/>
  <c r="AG47" i="23" s="1"/>
  <c r="AI47" i="23" s="1"/>
  <c r="P49" i="22"/>
  <c r="Q48" i="22"/>
  <c r="C56" i="20"/>
  <c r="Y56" i="20" s="1"/>
  <c r="L48" i="23" s="1"/>
  <c r="G57" i="20"/>
  <c r="AC57" i="20" s="1"/>
  <c r="AF49" i="23" s="1"/>
  <c r="AF54" i="20"/>
  <c r="AP47" i="23"/>
  <c r="J55" i="20"/>
  <c r="B52" i="23" l="1"/>
  <c r="AQ44" i="53"/>
  <c r="AS44" i="53" s="1"/>
  <c r="AG44" i="53"/>
  <c r="AI44" i="53" s="1"/>
  <c r="M44" i="53"/>
  <c r="T46" i="10"/>
  <c r="R46" i="10" s="1"/>
  <c r="Q46" i="10" s="1"/>
  <c r="S47" i="10"/>
  <c r="U60" i="20"/>
  <c r="AD60" i="20"/>
  <c r="AR43" i="53"/>
  <c r="AH43" i="53"/>
  <c r="C43" i="53"/>
  <c r="E43" i="53" s="1"/>
  <c r="D43" i="53"/>
  <c r="N43" i="53"/>
  <c r="S61" i="20"/>
  <c r="AE61" i="20"/>
  <c r="B53" i="23"/>
  <c r="N45" i="23"/>
  <c r="AR45" i="23"/>
  <c r="H44" i="10"/>
  <c r="AH46" i="23"/>
  <c r="C46" i="23"/>
  <c r="E46" i="23" s="1"/>
  <c r="D45" i="23"/>
  <c r="I45" i="10"/>
  <c r="AS48" i="23"/>
  <c r="K46" i="10"/>
  <c r="AG48" i="23" s="1"/>
  <c r="AI48" i="23" s="1"/>
  <c r="J47" i="10"/>
  <c r="AQ49" i="23" s="1"/>
  <c r="Q49" i="22"/>
  <c r="P50" i="22"/>
  <c r="AP48" i="23"/>
  <c r="G58" i="20"/>
  <c r="AC58" i="20" s="1"/>
  <c r="AF50" i="23" s="1"/>
  <c r="C57" i="20"/>
  <c r="Y57" i="20" s="1"/>
  <c r="L49" i="23" s="1"/>
  <c r="AF55" i="20"/>
  <c r="J56" i="20"/>
  <c r="U61" i="20" l="1"/>
  <c r="AD61" i="20"/>
  <c r="AQ45" i="53"/>
  <c r="AS45" i="53" s="1"/>
  <c r="AG45" i="53"/>
  <c r="AI45" i="53" s="1"/>
  <c r="M45" i="53"/>
  <c r="T47" i="10"/>
  <c r="R47" i="10" s="1"/>
  <c r="Q47" i="10" s="1"/>
  <c r="S48" i="10"/>
  <c r="D44" i="53"/>
  <c r="C44" i="53"/>
  <c r="E44" i="53" s="1"/>
  <c r="AH44" i="53"/>
  <c r="N44" i="53"/>
  <c r="AR44" i="53"/>
  <c r="D46" i="23"/>
  <c r="N46" i="23"/>
  <c r="AR46" i="23"/>
  <c r="H45" i="10"/>
  <c r="C47" i="23"/>
  <c r="E47" i="23" s="1"/>
  <c r="AH47" i="23"/>
  <c r="I46" i="10"/>
  <c r="AS49" i="23"/>
  <c r="K47" i="10"/>
  <c r="AG49" i="23" s="1"/>
  <c r="AI49" i="23" s="1"/>
  <c r="J48" i="10"/>
  <c r="AQ50" i="23" s="1"/>
  <c r="P51" i="22"/>
  <c r="Q50" i="22"/>
  <c r="AF56" i="20"/>
  <c r="J57" i="20"/>
  <c r="AP49" i="23"/>
  <c r="G59" i="20"/>
  <c r="AC59" i="20" s="1"/>
  <c r="AF51" i="23" s="1"/>
  <c r="C58" i="20"/>
  <c r="Y58" i="20" s="1"/>
  <c r="L50" i="23" s="1"/>
  <c r="AQ46" i="53" l="1"/>
  <c r="AS46" i="53" s="1"/>
  <c r="M46" i="53"/>
  <c r="AG46" i="53"/>
  <c r="AI46" i="53" s="1"/>
  <c r="S49" i="10"/>
  <c r="T48" i="10"/>
  <c r="R48" i="10" s="1"/>
  <c r="Q48" i="10" s="1"/>
  <c r="AH45" i="53"/>
  <c r="N45" i="53"/>
  <c r="C45" i="53"/>
  <c r="E45" i="53" s="1"/>
  <c r="D45" i="53"/>
  <c r="AR45" i="53"/>
  <c r="N47" i="23"/>
  <c r="AR47" i="23"/>
  <c r="H46" i="10"/>
  <c r="C48" i="23"/>
  <c r="E48" i="23" s="1"/>
  <c r="AH48" i="23"/>
  <c r="D47" i="23"/>
  <c r="I47" i="10"/>
  <c r="AS50" i="23"/>
  <c r="J49" i="10"/>
  <c r="AQ51" i="23" s="1"/>
  <c r="K48" i="10"/>
  <c r="AG50" i="23" s="1"/>
  <c r="AI50" i="23" s="1"/>
  <c r="Q51" i="22"/>
  <c r="P52" i="22"/>
  <c r="C59" i="20"/>
  <c r="Y59" i="20" s="1"/>
  <c r="L51" i="23" s="1"/>
  <c r="G60" i="20"/>
  <c r="AP50" i="23"/>
  <c r="AF57" i="20"/>
  <c r="J58" i="20"/>
  <c r="AQ47" i="53" l="1"/>
  <c r="AS47" i="53" s="1"/>
  <c r="M47" i="53"/>
  <c r="AG47" i="53"/>
  <c r="AI47" i="53" s="1"/>
  <c r="S50" i="10"/>
  <c r="T49" i="10"/>
  <c r="R49" i="10" s="1"/>
  <c r="Q49" i="10" s="1"/>
  <c r="C46" i="53"/>
  <c r="E46" i="53" s="1"/>
  <c r="D46" i="53"/>
  <c r="N46" i="53"/>
  <c r="AR46" i="53"/>
  <c r="AH46" i="53"/>
  <c r="D48" i="23"/>
  <c r="N48" i="23"/>
  <c r="AR48" i="23"/>
  <c r="H47" i="10"/>
  <c r="AH49" i="23"/>
  <c r="C49" i="23"/>
  <c r="E49" i="23" s="1"/>
  <c r="AC60" i="20"/>
  <c r="AF52" i="23" s="1"/>
  <c r="G61" i="20"/>
  <c r="AC61" i="20" s="1"/>
  <c r="AF53" i="23" s="1"/>
  <c r="I48" i="10"/>
  <c r="AS51" i="23"/>
  <c r="J50" i="10"/>
  <c r="AQ52" i="23" s="1"/>
  <c r="K49" i="10"/>
  <c r="AG51" i="23" s="1"/>
  <c r="AI51" i="23" s="1"/>
  <c r="P53" i="22"/>
  <c r="Q53" i="22" s="1"/>
  <c r="Q52" i="22"/>
  <c r="AF58" i="20"/>
  <c r="C60" i="20"/>
  <c r="Y60" i="20" s="1"/>
  <c r="L52" i="23" s="1"/>
  <c r="AP51" i="23"/>
  <c r="J59" i="20"/>
  <c r="AQ48" i="53" l="1"/>
  <c r="AS48" i="53" s="1"/>
  <c r="AG48" i="53"/>
  <c r="AI48" i="53" s="1"/>
  <c r="M48" i="53"/>
  <c r="S51" i="10"/>
  <c r="T50" i="10"/>
  <c r="R50" i="10" s="1"/>
  <c r="Q50" i="10" s="1"/>
  <c r="AR47" i="53"/>
  <c r="AH47" i="53"/>
  <c r="D47" i="53"/>
  <c r="C47" i="53"/>
  <c r="E47" i="53" s="1"/>
  <c r="N47" i="53"/>
  <c r="N49" i="23"/>
  <c r="AR49" i="23"/>
  <c r="H48" i="10"/>
  <c r="AH50" i="23"/>
  <c r="C50" i="23"/>
  <c r="E50" i="23" s="1"/>
  <c r="D49" i="23"/>
  <c r="I49" i="10"/>
  <c r="AS52" i="23"/>
  <c r="K50" i="10"/>
  <c r="AG52" i="23" s="1"/>
  <c r="AI52" i="23" s="1"/>
  <c r="J51" i="10"/>
  <c r="AQ53" i="23" s="1"/>
  <c r="AP52" i="23"/>
  <c r="J60" i="20"/>
  <c r="AF59" i="20"/>
  <c r="C61" i="20"/>
  <c r="Y61" i="20" s="1"/>
  <c r="L53" i="23" s="1"/>
  <c r="T51" i="10" l="1"/>
  <c r="R51" i="10" s="1"/>
  <c r="Q51" i="10" s="1"/>
  <c r="AQ49" i="53"/>
  <c r="AS49" i="53" s="1"/>
  <c r="AG49" i="53"/>
  <c r="AI49" i="53" s="1"/>
  <c r="M49" i="53"/>
  <c r="AH48" i="53"/>
  <c r="AR48" i="53"/>
  <c r="C48" i="53"/>
  <c r="E48" i="53" s="1"/>
  <c r="D48" i="53"/>
  <c r="N48" i="53"/>
  <c r="D50" i="23"/>
  <c r="N50" i="23"/>
  <c r="AR50" i="23"/>
  <c r="H49" i="10"/>
  <c r="C51" i="23"/>
  <c r="E51" i="23" s="1"/>
  <c r="AH51" i="23"/>
  <c r="I50" i="10"/>
  <c r="AS53" i="23"/>
  <c r="K51" i="10"/>
  <c r="AG53" i="23" s="1"/>
  <c r="AI53" i="23" s="1"/>
  <c r="AF60" i="20"/>
  <c r="J61" i="20"/>
  <c r="AP53" i="23"/>
  <c r="D49" i="53" l="1"/>
  <c r="C49" i="53"/>
  <c r="E49" i="53" s="1"/>
  <c r="AR49" i="53"/>
  <c r="C41" i="54" s="1" a="1"/>
  <c r="AH49" i="53"/>
  <c r="C32" i="54" s="1" a="1"/>
  <c r="N49" i="53"/>
  <c r="C14" i="54" s="1" a="1"/>
  <c r="D51" i="23"/>
  <c r="N51" i="23"/>
  <c r="AR51" i="23"/>
  <c r="H50" i="10"/>
  <c r="C52" i="23"/>
  <c r="E52" i="23" s="1"/>
  <c r="AH52" i="23"/>
  <c r="I51" i="10"/>
  <c r="AF61" i="20"/>
  <c r="C5" i="54" l="1" a="1"/>
  <c r="AR7" i="54" s="1"/>
  <c r="AR37" i="54"/>
  <c r="AR37" i="55" s="1"/>
  <c r="AI7" i="43" s="1"/>
  <c r="AU33" i="54"/>
  <c r="AU33" i="55" s="1"/>
  <c r="AL3" i="43" s="1"/>
  <c r="AK37" i="54"/>
  <c r="AK37" i="55" s="1"/>
  <c r="AB7" i="43" s="1"/>
  <c r="N35" i="54"/>
  <c r="N35" i="55" s="1"/>
  <c r="E5" i="43" s="1"/>
  <c r="AN35" i="54"/>
  <c r="AN35" i="55" s="1"/>
  <c r="AE5" i="43" s="1"/>
  <c r="AI37" i="54"/>
  <c r="AI37" i="55" s="1"/>
  <c r="Z7" i="43" s="1"/>
  <c r="AD35" i="54"/>
  <c r="AD35" i="55" s="1"/>
  <c r="U5" i="43" s="1"/>
  <c r="C36" i="54"/>
  <c r="C36" i="55" s="1"/>
  <c r="AM37" i="54"/>
  <c r="AM37" i="55" s="1"/>
  <c r="AD7" i="43" s="1"/>
  <c r="Q36" i="54"/>
  <c r="Q36" i="55" s="1"/>
  <c r="H6" i="43" s="1"/>
  <c r="G36" i="54"/>
  <c r="G36" i="55" s="1"/>
  <c r="AQ37" i="54"/>
  <c r="AQ37" i="55" s="1"/>
  <c r="AH7" i="43" s="1"/>
  <c r="AT35" i="54"/>
  <c r="AT35" i="55" s="1"/>
  <c r="AK5" i="43" s="1"/>
  <c r="I34" i="54"/>
  <c r="I34" i="55" s="1"/>
  <c r="AM33" i="54"/>
  <c r="AM33" i="55" s="1"/>
  <c r="AD3" i="43" s="1"/>
  <c r="P34" i="54"/>
  <c r="P34" i="55" s="1"/>
  <c r="G4" i="43" s="1"/>
  <c r="H34" i="54"/>
  <c r="H34" i="55" s="1"/>
  <c r="AQ34" i="54"/>
  <c r="AQ34" i="55" s="1"/>
  <c r="AH4" i="43" s="1"/>
  <c r="AO35" i="54"/>
  <c r="AO35" i="55" s="1"/>
  <c r="AF5" i="43" s="1"/>
  <c r="AK32" i="54"/>
  <c r="AK32" i="55" s="1"/>
  <c r="AB2" i="43" s="1"/>
  <c r="D37" i="54"/>
  <c r="D37" i="55" s="1"/>
  <c r="S36" i="54"/>
  <c r="S36" i="55" s="1"/>
  <c r="J6" i="43" s="1"/>
  <c r="N32" i="54"/>
  <c r="N32" i="55" s="1"/>
  <c r="E2" i="43" s="1"/>
  <c r="AJ37" i="54"/>
  <c r="AJ37" i="55" s="1"/>
  <c r="AA7" i="43" s="1"/>
  <c r="W36" i="54"/>
  <c r="W36" i="55" s="1"/>
  <c r="N6" i="43" s="1"/>
  <c r="R32" i="54"/>
  <c r="R32" i="55" s="1"/>
  <c r="I2" i="43" s="1"/>
  <c r="I32" i="54"/>
  <c r="I32" i="55" s="1"/>
  <c r="AA36" i="54"/>
  <c r="AA36" i="55" s="1"/>
  <c r="R6" i="43" s="1"/>
  <c r="Z32" i="54"/>
  <c r="Z32" i="55" s="1"/>
  <c r="Q2" i="43" s="1"/>
  <c r="T37" i="54"/>
  <c r="T37" i="55" s="1"/>
  <c r="K7" i="43" s="1"/>
  <c r="Y34" i="54"/>
  <c r="Y34" i="55" s="1"/>
  <c r="P4" i="43" s="1"/>
  <c r="J34" i="54"/>
  <c r="J34" i="55" s="1"/>
  <c r="AJ34" i="54"/>
  <c r="AJ34" i="55" s="1"/>
  <c r="AA4" i="43" s="1"/>
  <c r="X34" i="54"/>
  <c r="X34" i="55" s="1"/>
  <c r="O4" i="43" s="1"/>
  <c r="AD37" i="54"/>
  <c r="AD37" i="55" s="1"/>
  <c r="U7" i="43" s="1"/>
  <c r="J32" i="54"/>
  <c r="J32" i="55" s="1"/>
  <c r="AE34" i="54"/>
  <c r="AE34" i="55" s="1"/>
  <c r="V4" i="43" s="1"/>
  <c r="L33" i="54"/>
  <c r="L33" i="55" s="1"/>
  <c r="C3" i="43" s="1"/>
  <c r="AM36" i="54"/>
  <c r="AM36" i="55" s="1"/>
  <c r="AD6" i="43" s="1"/>
  <c r="AL32" i="54"/>
  <c r="AL32" i="55" s="1"/>
  <c r="AC2" i="43" s="1"/>
  <c r="AB33" i="54"/>
  <c r="AB33" i="55" s="1"/>
  <c r="S3" i="43" s="1"/>
  <c r="AQ36" i="54"/>
  <c r="AQ36" i="55" s="1"/>
  <c r="AH6" i="43" s="1"/>
  <c r="AT32" i="54"/>
  <c r="AT32" i="55" s="1"/>
  <c r="AK2" i="43" s="1"/>
  <c r="AR33" i="54"/>
  <c r="AR33" i="55" s="1"/>
  <c r="AI3" i="43" s="1"/>
  <c r="F37" i="54"/>
  <c r="F37" i="55" s="1"/>
  <c r="I33" i="54"/>
  <c r="I33" i="55" s="1"/>
  <c r="AO32" i="54"/>
  <c r="AO32" i="55" s="1"/>
  <c r="AF2" i="43" s="1"/>
  <c r="AO34" i="54"/>
  <c r="AO34" i="55" s="1"/>
  <c r="AF4" i="43" s="1"/>
  <c r="Z34" i="54"/>
  <c r="Z34" i="55" s="1"/>
  <c r="Q4" i="43" s="1"/>
  <c r="O35" i="54"/>
  <c r="O35" i="55" s="1"/>
  <c r="F5" i="43" s="1"/>
  <c r="AN34" i="54"/>
  <c r="AN34" i="55" s="1"/>
  <c r="AE4" i="43" s="1"/>
  <c r="G35" i="54"/>
  <c r="G35" i="55" s="1"/>
  <c r="AN33" i="54"/>
  <c r="AN33" i="55" s="1"/>
  <c r="AE3" i="43" s="1"/>
  <c r="AF35" i="54"/>
  <c r="AF35" i="55" s="1"/>
  <c r="W5" i="43" s="1"/>
  <c r="W33" i="54"/>
  <c r="W33" i="55" s="1"/>
  <c r="N3" i="43" s="1"/>
  <c r="AB34" i="54"/>
  <c r="AB34" i="55" s="1"/>
  <c r="S4" i="43" s="1"/>
  <c r="Y33" i="54"/>
  <c r="Y33" i="55" s="1"/>
  <c r="P3" i="43" s="1"/>
  <c r="E36" i="54"/>
  <c r="E36" i="55" s="1"/>
  <c r="L35" i="54"/>
  <c r="L35" i="55" s="1"/>
  <c r="C5" i="43" s="1"/>
  <c r="AP33" i="54"/>
  <c r="AP33" i="55" s="1"/>
  <c r="AG3" i="43" s="1"/>
  <c r="K33" i="54"/>
  <c r="K33" i="55" s="1"/>
  <c r="B3" i="43" s="1"/>
  <c r="F36" i="54"/>
  <c r="F36" i="55" s="1"/>
  <c r="C34" i="54"/>
  <c r="C34" i="55" s="1"/>
  <c r="AD36" i="54"/>
  <c r="AD36" i="55" s="1"/>
  <c r="U6" i="43" s="1"/>
  <c r="Z33" i="54"/>
  <c r="Z33" i="55" s="1"/>
  <c r="Q3" i="43" s="1"/>
  <c r="I35" i="54"/>
  <c r="I35" i="55" s="1"/>
  <c r="AM34" i="54"/>
  <c r="AM34" i="55" s="1"/>
  <c r="AD4" i="43" s="1"/>
  <c r="AU37" i="54"/>
  <c r="AU37" i="55" s="1"/>
  <c r="AL7" i="43" s="1"/>
  <c r="U36" i="54"/>
  <c r="U36" i="55" s="1"/>
  <c r="L6" i="43" s="1"/>
  <c r="E37" i="54"/>
  <c r="E37" i="55" s="1"/>
  <c r="R33" i="54"/>
  <c r="R33" i="55" s="1"/>
  <c r="I3" i="43" s="1"/>
  <c r="AK36" i="54"/>
  <c r="AK36" i="55" s="1"/>
  <c r="AB6" i="43" s="1"/>
  <c r="AL37" i="54"/>
  <c r="AL37" i="55" s="1"/>
  <c r="AC7" i="43" s="1"/>
  <c r="D34" i="54"/>
  <c r="D34" i="55" s="1"/>
  <c r="X37" i="54"/>
  <c r="X37" i="55" s="1"/>
  <c r="O7" i="43" s="1"/>
  <c r="AP37" i="54"/>
  <c r="AP37" i="55" s="1"/>
  <c r="AG7" i="43" s="1"/>
  <c r="L34" i="54"/>
  <c r="L34" i="55" s="1"/>
  <c r="C4" i="43" s="1"/>
  <c r="AN37" i="54"/>
  <c r="AN37" i="55" s="1"/>
  <c r="AE7" i="43" s="1"/>
  <c r="AT37" i="54"/>
  <c r="AT37" i="55" s="1"/>
  <c r="AK7" i="43" s="1"/>
  <c r="T34" i="54"/>
  <c r="T34" i="55" s="1"/>
  <c r="K4" i="43" s="1"/>
  <c r="AH35" i="54"/>
  <c r="AH35" i="55" s="1"/>
  <c r="Y5" i="43" s="1"/>
  <c r="AB35" i="54"/>
  <c r="AB35" i="55" s="1"/>
  <c r="S5" i="43" s="1"/>
  <c r="M35" i="54"/>
  <c r="M35" i="55" s="1"/>
  <c r="D5" i="43" s="1"/>
  <c r="J36" i="54"/>
  <c r="J36" i="55" s="1"/>
  <c r="AA35" i="54"/>
  <c r="AA35" i="55" s="1"/>
  <c r="R5" i="43" s="1"/>
  <c r="AA33" i="54"/>
  <c r="AA33" i="55" s="1"/>
  <c r="R3" i="43" s="1"/>
  <c r="AS36" i="54"/>
  <c r="AS36" i="55" s="1"/>
  <c r="AJ6" i="43" s="1"/>
  <c r="P35" i="54"/>
  <c r="P35" i="55" s="1"/>
  <c r="G5" i="43" s="1"/>
  <c r="AS32" i="54"/>
  <c r="AS32" i="55" s="1"/>
  <c r="AJ2" i="43" s="1"/>
  <c r="L32" i="54"/>
  <c r="L32" i="55" s="1"/>
  <c r="C2" i="43" s="1"/>
  <c r="AF34" i="54"/>
  <c r="AF34" i="55" s="1"/>
  <c r="W4" i="43" s="1"/>
  <c r="P33" i="54"/>
  <c r="P33" i="55" s="1"/>
  <c r="G3" i="43" s="1"/>
  <c r="P32" i="54"/>
  <c r="P32" i="55" s="1"/>
  <c r="G2" i="43" s="1"/>
  <c r="AR34" i="54"/>
  <c r="AR34" i="55" s="1"/>
  <c r="AI4" i="43" s="1"/>
  <c r="AF33" i="54"/>
  <c r="AF33" i="55" s="1"/>
  <c r="W3" i="43" s="1"/>
  <c r="X32" i="54"/>
  <c r="X32" i="55" s="1"/>
  <c r="O2" i="43" s="1"/>
  <c r="C35" i="54"/>
  <c r="C35" i="55" s="1"/>
  <c r="H37" i="54"/>
  <c r="H37" i="55" s="1"/>
  <c r="AR35" i="54"/>
  <c r="AR35" i="55" s="1"/>
  <c r="AI5" i="43" s="1"/>
  <c r="AC35" i="54"/>
  <c r="AC35" i="55" s="1"/>
  <c r="T5" i="43" s="1"/>
  <c r="AH36" i="54"/>
  <c r="AH36" i="55" s="1"/>
  <c r="Y6" i="43" s="1"/>
  <c r="AQ35" i="54"/>
  <c r="AQ35" i="55" s="1"/>
  <c r="AH5" i="43" s="1"/>
  <c r="D33" i="54"/>
  <c r="D33" i="55" s="1"/>
  <c r="Y32" i="54"/>
  <c r="Y32" i="55" s="1"/>
  <c r="P2" i="43" s="1"/>
  <c r="J37" i="54"/>
  <c r="J37" i="55" s="1"/>
  <c r="AI34" i="54"/>
  <c r="AI34" i="55" s="1"/>
  <c r="Z4" i="43" s="1"/>
  <c r="AF32" i="54"/>
  <c r="AF32" i="55" s="1"/>
  <c r="W2" i="43" s="1"/>
  <c r="S35" i="54"/>
  <c r="S35" i="55" s="1"/>
  <c r="J5" i="43" s="1"/>
  <c r="F35" i="54"/>
  <c r="F35" i="55" s="1"/>
  <c r="AN32" i="54"/>
  <c r="AN32" i="55" s="1"/>
  <c r="AE2" i="43" s="1"/>
  <c r="W35" i="54"/>
  <c r="W35" i="55" s="1"/>
  <c r="N5" i="43" s="1"/>
  <c r="AL35" i="54"/>
  <c r="AL35" i="55" s="1"/>
  <c r="AC5" i="43" s="1"/>
  <c r="AR32" i="54"/>
  <c r="AR32" i="55" s="1"/>
  <c r="AI2" i="43" s="1"/>
  <c r="AE35" i="54"/>
  <c r="AE35" i="55" s="1"/>
  <c r="V5" i="43" s="1"/>
  <c r="AC32" i="54"/>
  <c r="AC32" i="55" s="1"/>
  <c r="T2" i="43" s="1"/>
  <c r="O36" i="54"/>
  <c r="O36" i="55" s="1"/>
  <c r="F6" i="43" s="1"/>
  <c r="AS35" i="54"/>
  <c r="AS35" i="55" s="1"/>
  <c r="AJ5" i="43" s="1"/>
  <c r="I37" i="54"/>
  <c r="I37" i="55" s="1"/>
  <c r="N36" i="54"/>
  <c r="N36" i="55" s="1"/>
  <c r="E6" i="43" s="1"/>
  <c r="X33" i="54"/>
  <c r="X33" i="55" s="1"/>
  <c r="O3" i="43" s="1"/>
  <c r="X35" i="54"/>
  <c r="X35" i="55" s="1"/>
  <c r="O5" i="43" s="1"/>
  <c r="S37" i="54"/>
  <c r="S37" i="55" s="1"/>
  <c r="J7" i="43" s="1"/>
  <c r="AO33" i="54"/>
  <c r="AO33" i="55" s="1"/>
  <c r="AF3" i="43" s="1"/>
  <c r="I36" i="54"/>
  <c r="I36" i="55" s="1"/>
  <c r="R35" i="54"/>
  <c r="R35" i="55" s="1"/>
  <c r="I5" i="43" s="1"/>
  <c r="Z37" i="54"/>
  <c r="Z37" i="55" s="1"/>
  <c r="Q7" i="43" s="1"/>
  <c r="AP34" i="54"/>
  <c r="AP34" i="55" s="1"/>
  <c r="AG4" i="43" s="1"/>
  <c r="S34" i="54"/>
  <c r="S34" i="55" s="1"/>
  <c r="J4" i="43" s="1"/>
  <c r="AU35" i="54"/>
  <c r="AU35" i="55" s="1"/>
  <c r="AL5" i="43" s="1"/>
  <c r="AB37" i="54"/>
  <c r="AB37" i="55" s="1"/>
  <c r="S7" i="43" s="1"/>
  <c r="AE36" i="54"/>
  <c r="AE36" i="55" s="1"/>
  <c r="V6" i="43" s="1"/>
  <c r="M32" i="54"/>
  <c r="M32" i="55" s="1"/>
  <c r="D2" i="43" s="1"/>
  <c r="E35" i="54"/>
  <c r="E35" i="55" s="1"/>
  <c r="AG32" i="54"/>
  <c r="AG32" i="55" s="1"/>
  <c r="X2" i="43" s="1"/>
  <c r="S32" i="54"/>
  <c r="S32" i="55" s="1"/>
  <c r="J2" i="43" s="1"/>
  <c r="U35" i="54"/>
  <c r="U35" i="55" s="1"/>
  <c r="L5" i="43" s="1"/>
  <c r="AQ32" i="54"/>
  <c r="AQ32" i="55" s="1"/>
  <c r="AH2" i="43" s="1"/>
  <c r="AT34" i="54"/>
  <c r="AT34" i="55" s="1"/>
  <c r="AK4" i="43" s="1"/>
  <c r="G32" i="54"/>
  <c r="G32" i="55" s="1"/>
  <c r="AE33" i="54"/>
  <c r="AE33" i="55" s="1"/>
  <c r="V3" i="43" s="1"/>
  <c r="Z36" i="54"/>
  <c r="Z36" i="55" s="1"/>
  <c r="Q6" i="43" s="1"/>
  <c r="K32" i="54"/>
  <c r="K32" i="55" s="1"/>
  <c r="B2" i="43" s="1"/>
  <c r="AI33" i="54"/>
  <c r="AI33" i="55" s="1"/>
  <c r="Z3" i="43" s="1"/>
  <c r="AL36" i="54"/>
  <c r="AL36" i="55" s="1"/>
  <c r="AC6" i="43" s="1"/>
  <c r="O32" i="54"/>
  <c r="O32" i="55" s="1"/>
  <c r="F2" i="43" s="1"/>
  <c r="AQ33" i="54"/>
  <c r="AQ33" i="55" s="1"/>
  <c r="AH3" i="43" s="1"/>
  <c r="AP36" i="54"/>
  <c r="AP36" i="55" s="1"/>
  <c r="AG6" i="43" s="1"/>
  <c r="V35" i="54"/>
  <c r="V35" i="55" s="1"/>
  <c r="M5" i="43" s="1"/>
  <c r="AU36" i="54"/>
  <c r="AU36" i="55" s="1"/>
  <c r="AL6" i="43" s="1"/>
  <c r="AF36" i="54"/>
  <c r="AF36" i="55" s="1"/>
  <c r="W6" i="43" s="1"/>
  <c r="AR36" i="54"/>
  <c r="AR36" i="55" s="1"/>
  <c r="AI6" i="43" s="1"/>
  <c r="AT36" i="54"/>
  <c r="AT36" i="55" s="1"/>
  <c r="AK6" i="43" s="1"/>
  <c r="J35" i="54"/>
  <c r="J35" i="55" s="1"/>
  <c r="AK34" i="54"/>
  <c r="AK34" i="55" s="1"/>
  <c r="AB4" i="43" s="1"/>
  <c r="AN36" i="54"/>
  <c r="AN36" i="55" s="1"/>
  <c r="AE6" i="43" s="1"/>
  <c r="AA32" i="54"/>
  <c r="AA32" i="55" s="1"/>
  <c r="R2" i="43" s="1"/>
  <c r="F34" i="54"/>
  <c r="F34" i="55" s="1"/>
  <c r="M37" i="54"/>
  <c r="M37" i="55" s="1"/>
  <c r="D7" i="43" s="1"/>
  <c r="AE32" i="54"/>
  <c r="AE32" i="55" s="1"/>
  <c r="V2" i="43" s="1"/>
  <c r="N34" i="54"/>
  <c r="N34" i="55" s="1"/>
  <c r="E4" i="43" s="1"/>
  <c r="U37" i="54"/>
  <c r="U37" i="55" s="1"/>
  <c r="L7" i="43" s="1"/>
  <c r="AM32" i="54"/>
  <c r="AM32" i="55" s="1"/>
  <c r="AD2" i="43" s="1"/>
  <c r="R34" i="54"/>
  <c r="R34" i="55" s="1"/>
  <c r="I4" i="43" s="1"/>
  <c r="Y37" i="54"/>
  <c r="Y37" i="55" s="1"/>
  <c r="P7" i="43" s="1"/>
  <c r="AO36" i="54"/>
  <c r="AO36" i="55" s="1"/>
  <c r="AF6" i="43" s="1"/>
  <c r="R37" i="54"/>
  <c r="R37" i="55" s="1"/>
  <c r="I7" i="43" s="1"/>
  <c r="G37" i="54"/>
  <c r="G37" i="55" s="1"/>
  <c r="O37" i="54"/>
  <c r="O37" i="55" s="1"/>
  <c r="F7" i="43" s="1"/>
  <c r="Q37" i="54"/>
  <c r="Q37" i="55" s="1"/>
  <c r="H7" i="43" s="1"/>
  <c r="AG36" i="54"/>
  <c r="AG36" i="55" s="1"/>
  <c r="X6" i="43" s="1"/>
  <c r="AI36" i="54"/>
  <c r="AI36" i="55" s="1"/>
  <c r="Z6" i="43" s="1"/>
  <c r="M33" i="54"/>
  <c r="M33" i="55" s="1"/>
  <c r="D3" i="43" s="1"/>
  <c r="AU32" i="54"/>
  <c r="AU32" i="55" s="1"/>
  <c r="AL2" i="43" s="1"/>
  <c r="AD34" i="54"/>
  <c r="AD34" i="55" s="1"/>
  <c r="U4" i="43" s="1"/>
  <c r="AO37" i="54"/>
  <c r="AO37" i="55" s="1"/>
  <c r="AF7" i="43" s="1"/>
  <c r="J33" i="54"/>
  <c r="J33" i="55" s="1"/>
  <c r="AH34" i="54"/>
  <c r="AH34" i="55" s="1"/>
  <c r="Y4" i="43" s="1"/>
  <c r="AS37" i="54"/>
  <c r="AS37" i="55" s="1"/>
  <c r="AJ7" i="43" s="1"/>
  <c r="N33" i="54"/>
  <c r="N33" i="55" s="1"/>
  <c r="E3" i="43" s="1"/>
  <c r="AL34" i="54"/>
  <c r="AL34" i="55" s="1"/>
  <c r="AC4" i="43" s="1"/>
  <c r="T33" i="54"/>
  <c r="T33" i="55" s="1"/>
  <c r="K3" i="43" s="1"/>
  <c r="C32" i="54"/>
  <c r="C32" i="55" s="1"/>
  <c r="AH37" i="54"/>
  <c r="AH37" i="55" s="1"/>
  <c r="Y7" i="43" s="1"/>
  <c r="AA37" i="54"/>
  <c r="AA37" i="55" s="1"/>
  <c r="R7" i="43" s="1"/>
  <c r="AE37" i="54"/>
  <c r="AE37" i="55" s="1"/>
  <c r="V7" i="43" s="1"/>
  <c r="AJ35" i="54"/>
  <c r="AJ35" i="55" s="1"/>
  <c r="AA5" i="43" s="1"/>
  <c r="T35" i="54"/>
  <c r="T35" i="55" s="1"/>
  <c r="K5" i="43" s="1"/>
  <c r="K37" i="54"/>
  <c r="K37" i="55" s="1"/>
  <c r="B7" i="43" s="1"/>
  <c r="AA34" i="54"/>
  <c r="AA34" i="55" s="1"/>
  <c r="R4" i="43" s="1"/>
  <c r="AK33" i="54"/>
  <c r="AK33" i="55" s="1"/>
  <c r="AB3" i="43" s="1"/>
  <c r="AU34" i="54"/>
  <c r="AU34" i="55" s="1"/>
  <c r="AL4" i="43" s="1"/>
  <c r="V37" i="54"/>
  <c r="V37" i="55" s="1"/>
  <c r="M7" i="43" s="1"/>
  <c r="AG33" i="54"/>
  <c r="AG33" i="55" s="1"/>
  <c r="X3" i="43" s="1"/>
  <c r="AI35" i="54"/>
  <c r="AI35" i="55" s="1"/>
  <c r="Z5" i="43" s="1"/>
  <c r="C33" i="54"/>
  <c r="C33" i="55" s="1"/>
  <c r="L37" i="54"/>
  <c r="L37" i="55" s="1"/>
  <c r="C7" i="43" s="1"/>
  <c r="S33" i="54"/>
  <c r="S33" i="55" s="1"/>
  <c r="J3" i="43" s="1"/>
  <c r="P36" i="54"/>
  <c r="P36" i="55" s="1"/>
  <c r="G6" i="43" s="1"/>
  <c r="AB32" i="54"/>
  <c r="AB32" i="55" s="1"/>
  <c r="S2" i="43" s="1"/>
  <c r="Q32" i="54"/>
  <c r="Q32" i="55" s="1"/>
  <c r="H2" i="43" s="1"/>
  <c r="AH33" i="54"/>
  <c r="AH33" i="55" s="1"/>
  <c r="Y3" i="43" s="1"/>
  <c r="D32" i="54"/>
  <c r="D32" i="55" s="1"/>
  <c r="AG37" i="54"/>
  <c r="AG37" i="55" s="1"/>
  <c r="X7" i="43" s="1"/>
  <c r="W32" i="54"/>
  <c r="W32" i="55" s="1"/>
  <c r="N2" i="43" s="1"/>
  <c r="V34" i="54"/>
  <c r="V34" i="55" s="1"/>
  <c r="M4" i="43" s="1"/>
  <c r="AJ33" i="54"/>
  <c r="AJ33" i="55" s="1"/>
  <c r="AA3" i="43" s="1"/>
  <c r="AT33" i="54"/>
  <c r="AT33" i="55" s="1"/>
  <c r="AK3" i="43" s="1"/>
  <c r="Y35" i="54"/>
  <c r="Y35" i="55" s="1"/>
  <c r="P5" i="43" s="1"/>
  <c r="G34" i="54"/>
  <c r="G34" i="55" s="1"/>
  <c r="E34" i="54"/>
  <c r="E34" i="55" s="1"/>
  <c r="AG35" i="54"/>
  <c r="AG35" i="55" s="1"/>
  <c r="X5" i="43" s="1"/>
  <c r="W34" i="54"/>
  <c r="W34" i="55" s="1"/>
  <c r="N4" i="43" s="1"/>
  <c r="M34" i="54"/>
  <c r="M34" i="55" s="1"/>
  <c r="D4" i="43" s="1"/>
  <c r="AK35" i="54"/>
  <c r="AK35" i="55" s="1"/>
  <c r="AB5" i="43" s="1"/>
  <c r="M36" i="54"/>
  <c r="M36" i="55" s="1"/>
  <c r="D6" i="43" s="1"/>
  <c r="AI32" i="54"/>
  <c r="AI32" i="55" s="1"/>
  <c r="Z2" i="43" s="1"/>
  <c r="T32" i="54"/>
  <c r="T32" i="55" s="1"/>
  <c r="K2" i="43" s="1"/>
  <c r="V32" i="54"/>
  <c r="V32" i="55" s="1"/>
  <c r="M2" i="43" s="1"/>
  <c r="AH32" i="54"/>
  <c r="AH32" i="55" s="1"/>
  <c r="Y2" i="43" s="1"/>
  <c r="W37" i="54"/>
  <c r="W37" i="55" s="1"/>
  <c r="N7" i="43" s="1"/>
  <c r="Q34" i="54"/>
  <c r="Q34" i="55" s="1"/>
  <c r="H4" i="43" s="1"/>
  <c r="T36" i="54"/>
  <c r="T36" i="55" s="1"/>
  <c r="K6" i="43" s="1"/>
  <c r="Z35" i="54"/>
  <c r="Z35" i="55" s="1"/>
  <c r="Q5" i="43" s="1"/>
  <c r="U34" i="54"/>
  <c r="U34" i="55" s="1"/>
  <c r="L4" i="43" s="1"/>
  <c r="D36" i="54"/>
  <c r="D36" i="55" s="1"/>
  <c r="AP35" i="54"/>
  <c r="AP35" i="55" s="1"/>
  <c r="AG5" i="43" s="1"/>
  <c r="AC34" i="54"/>
  <c r="AC34" i="55" s="1"/>
  <c r="T4" i="43" s="1"/>
  <c r="H36" i="54"/>
  <c r="H36" i="55" s="1"/>
  <c r="AC36" i="54"/>
  <c r="AC36" i="55" s="1"/>
  <c r="T6" i="43" s="1"/>
  <c r="AG34" i="54"/>
  <c r="AG34" i="55" s="1"/>
  <c r="X4" i="43" s="1"/>
  <c r="L36" i="54"/>
  <c r="L36" i="55" s="1"/>
  <c r="C6" i="43" s="1"/>
  <c r="AF37" i="54"/>
  <c r="AF37" i="55" s="1"/>
  <c r="W7" i="43" s="1"/>
  <c r="F33" i="54"/>
  <c r="F33" i="55" s="1"/>
  <c r="AJ32" i="54"/>
  <c r="AJ32" i="55" s="1"/>
  <c r="AA2" i="43" s="1"/>
  <c r="AP32" i="54"/>
  <c r="AP32" i="55" s="1"/>
  <c r="AG2" i="43" s="1"/>
  <c r="E33" i="54"/>
  <c r="E33" i="55" s="1"/>
  <c r="AS33" i="54"/>
  <c r="AS33" i="55" s="1"/>
  <c r="AJ3" i="43" s="1"/>
  <c r="K36" i="54"/>
  <c r="K36" i="55" s="1"/>
  <c r="B6" i="43" s="1"/>
  <c r="AD32" i="54"/>
  <c r="AD32" i="55" s="1"/>
  <c r="U2" i="43" s="1"/>
  <c r="P37" i="54"/>
  <c r="P37" i="55" s="1"/>
  <c r="G7" i="43" s="1"/>
  <c r="AS34" i="54"/>
  <c r="AS34" i="55" s="1"/>
  <c r="AJ4" i="43" s="1"/>
  <c r="X36" i="54"/>
  <c r="X36" i="55" s="1"/>
  <c r="O6" i="43" s="1"/>
  <c r="E32" i="54"/>
  <c r="E32" i="55" s="1"/>
  <c r="D35" i="54"/>
  <c r="D35" i="55" s="1"/>
  <c r="AB36" i="54"/>
  <c r="AB36" i="55" s="1"/>
  <c r="S6" i="43" s="1"/>
  <c r="U32" i="54"/>
  <c r="U32" i="55" s="1"/>
  <c r="L2" i="43" s="1"/>
  <c r="H35" i="54"/>
  <c r="H35" i="55" s="1"/>
  <c r="AJ36" i="54"/>
  <c r="AJ36" i="55" s="1"/>
  <c r="AA6" i="43" s="1"/>
  <c r="H33" i="54"/>
  <c r="H33" i="55" s="1"/>
  <c r="V33" i="54"/>
  <c r="V33" i="55" s="1"/>
  <c r="M3" i="43" s="1"/>
  <c r="G33" i="54"/>
  <c r="G33" i="55" s="1"/>
  <c r="Q33" i="54"/>
  <c r="Q33" i="55" s="1"/>
  <c r="H3" i="43" s="1"/>
  <c r="U33" i="54"/>
  <c r="U33" i="55" s="1"/>
  <c r="L3" i="43" s="1"/>
  <c r="H32" i="54"/>
  <c r="H32" i="55" s="1"/>
  <c r="C37" i="54"/>
  <c r="C37" i="55" s="1"/>
  <c r="K34" i="54"/>
  <c r="K34" i="55" s="1"/>
  <c r="B4" i="43" s="1"/>
  <c r="AL33" i="54"/>
  <c r="AL33" i="55" s="1"/>
  <c r="AC3" i="43" s="1"/>
  <c r="V36" i="54"/>
  <c r="V36" i="55" s="1"/>
  <c r="M6" i="43" s="1"/>
  <c r="N37" i="54"/>
  <c r="N37" i="55" s="1"/>
  <c r="E7" i="43" s="1"/>
  <c r="AC33" i="54"/>
  <c r="AC33" i="55" s="1"/>
  <c r="T3" i="43" s="1"/>
  <c r="O34" i="54"/>
  <c r="O34" i="55" s="1"/>
  <c r="F4" i="43" s="1"/>
  <c r="K35" i="54"/>
  <c r="K35" i="55" s="1"/>
  <c r="B5" i="43" s="1"/>
  <c r="Y36" i="54"/>
  <c r="Y36" i="55" s="1"/>
  <c r="P6" i="43" s="1"/>
  <c r="O33" i="54"/>
  <c r="O33" i="55" s="1"/>
  <c r="F3" i="43" s="1"/>
  <c r="R36" i="54"/>
  <c r="R36" i="55" s="1"/>
  <c r="I6" i="43" s="1"/>
  <c r="AC37" i="54"/>
  <c r="AC37" i="55" s="1"/>
  <c r="T7" i="43" s="1"/>
  <c r="AM35" i="54"/>
  <c r="AM35" i="55" s="1"/>
  <c r="AD5" i="43" s="1"/>
  <c r="AD33" i="54"/>
  <c r="AD33" i="55" s="1"/>
  <c r="U3" i="43" s="1"/>
  <c r="Q35" i="54"/>
  <c r="Q35" i="55" s="1"/>
  <c r="H5" i="43" s="1"/>
  <c r="F32" i="54"/>
  <c r="F32" i="55" s="1"/>
  <c r="AD44" i="54"/>
  <c r="AD44" i="55" s="1"/>
  <c r="U5" i="44" s="1"/>
  <c r="AQ43" i="54"/>
  <c r="AQ43" i="55" s="1"/>
  <c r="AH4" i="44" s="1"/>
  <c r="AJ45" i="54"/>
  <c r="AJ45" i="55" s="1"/>
  <c r="AA6" i="44" s="1"/>
  <c r="J45" i="54"/>
  <c r="J45" i="55" s="1"/>
  <c r="AP43" i="54"/>
  <c r="AP43" i="55" s="1"/>
  <c r="AG4" i="44" s="1"/>
  <c r="P43" i="54"/>
  <c r="P43" i="55" s="1"/>
  <c r="G4" i="44" s="1"/>
  <c r="AA42" i="54"/>
  <c r="AA42" i="55" s="1"/>
  <c r="R3" i="44" s="1"/>
  <c r="AT41" i="54"/>
  <c r="AT41" i="55" s="1"/>
  <c r="AK2" i="44" s="1"/>
  <c r="L41" i="54"/>
  <c r="L41" i="55" s="1"/>
  <c r="C2" i="44" s="1"/>
  <c r="AQ46" i="54"/>
  <c r="AQ46" i="55" s="1"/>
  <c r="AH7" i="44" s="1"/>
  <c r="AB46" i="54"/>
  <c r="AB46" i="55" s="1"/>
  <c r="S7" i="44" s="1"/>
  <c r="Q46" i="54"/>
  <c r="Q46" i="55" s="1"/>
  <c r="H7" i="44" s="1"/>
  <c r="AU45" i="54"/>
  <c r="AU45" i="55" s="1"/>
  <c r="AL6" i="44" s="1"/>
  <c r="AR45" i="54"/>
  <c r="AR45" i="55" s="1"/>
  <c r="AI6" i="44" s="1"/>
  <c r="AC45" i="54"/>
  <c r="AC45" i="55" s="1"/>
  <c r="T6" i="44" s="1"/>
  <c r="R45" i="54"/>
  <c r="R45" i="55" s="1"/>
  <c r="I6" i="44" s="1"/>
  <c r="C45" i="54"/>
  <c r="C45" i="55" s="1"/>
  <c r="Z41" i="54"/>
  <c r="Z41" i="55" s="1"/>
  <c r="Q2" i="44" s="1"/>
  <c r="Q43" i="54"/>
  <c r="Q43" i="55" s="1"/>
  <c r="H4" i="44" s="1"/>
  <c r="W46" i="54"/>
  <c r="W46" i="55" s="1"/>
  <c r="N7" i="44" s="1"/>
  <c r="AP45" i="54"/>
  <c r="AP45" i="55" s="1"/>
  <c r="AG6" i="44" s="1"/>
  <c r="AC44" i="54"/>
  <c r="AC44" i="55" s="1"/>
  <c r="T5" i="44" s="1"/>
  <c r="C44" i="54"/>
  <c r="C44" i="55" s="1"/>
  <c r="N43" i="54"/>
  <c r="N43" i="55" s="1"/>
  <c r="E4" i="44" s="1"/>
  <c r="AG42" i="54"/>
  <c r="AG42" i="55" s="1"/>
  <c r="X3" i="44" s="1"/>
  <c r="AB41" i="54"/>
  <c r="AB41" i="55" s="1"/>
  <c r="S2" i="44" s="1"/>
  <c r="M41" i="54"/>
  <c r="M41" i="55" s="1"/>
  <c r="D2" i="44" s="1"/>
  <c r="AR46" i="54"/>
  <c r="AR46" i="55" s="1"/>
  <c r="AI7" i="44" s="1"/>
  <c r="AG46" i="54"/>
  <c r="AG46" i="55" s="1"/>
  <c r="X7" i="44" s="1"/>
  <c r="R46" i="54"/>
  <c r="R46" i="55" s="1"/>
  <c r="I7" i="44" s="1"/>
  <c r="O46" i="54"/>
  <c r="O46" i="55" s="1"/>
  <c r="F7" i="44" s="1"/>
  <c r="AS45" i="54"/>
  <c r="AS45" i="55" s="1"/>
  <c r="AJ6" i="44" s="1"/>
  <c r="AH45" i="54"/>
  <c r="AH45" i="55" s="1"/>
  <c r="Y6" i="44" s="1"/>
  <c r="S45" i="54"/>
  <c r="S45" i="55" s="1"/>
  <c r="J6" i="44" s="1"/>
  <c r="J46" i="54"/>
  <c r="J46" i="55" s="1"/>
  <c r="AS42" i="54"/>
  <c r="AS42" i="55" s="1"/>
  <c r="AJ3" i="44" s="1"/>
  <c r="AU43" i="54"/>
  <c r="AU43" i="55" s="1"/>
  <c r="AL4" i="44" s="1"/>
  <c r="U43" i="54"/>
  <c r="U43" i="55" s="1"/>
  <c r="L4" i="44" s="1"/>
  <c r="H42" i="54"/>
  <c r="H42" i="55" s="1"/>
  <c r="AA41" i="54"/>
  <c r="AA41" i="55" s="1"/>
  <c r="R2" i="44" s="1"/>
  <c r="AM46" i="54"/>
  <c r="AM46" i="55" s="1"/>
  <c r="AD7" i="44" s="1"/>
  <c r="M46" i="54"/>
  <c r="M46" i="55" s="1"/>
  <c r="D7" i="44" s="1"/>
  <c r="R43" i="54"/>
  <c r="R43" i="55" s="1"/>
  <c r="I4" i="44" s="1"/>
  <c r="C43" i="54"/>
  <c r="C43" i="55" s="1"/>
  <c r="AK42" i="54"/>
  <c r="AK42" i="55" s="1"/>
  <c r="AB3" i="44" s="1"/>
  <c r="V42" i="54"/>
  <c r="V42" i="55" s="1"/>
  <c r="M3" i="44" s="1"/>
  <c r="S42" i="54"/>
  <c r="S42" i="55" s="1"/>
  <c r="J3" i="44" s="1"/>
  <c r="D42" i="54"/>
  <c r="D42" i="55" s="1"/>
  <c r="AL41" i="54"/>
  <c r="AL41" i="55" s="1"/>
  <c r="AC2" i="44" s="1"/>
  <c r="W41" i="54"/>
  <c r="W41" i="55" s="1"/>
  <c r="N2" i="44" s="1"/>
  <c r="AF43" i="54"/>
  <c r="AF43" i="55" s="1"/>
  <c r="W4" i="44" s="1"/>
  <c r="M42" i="54"/>
  <c r="M42" i="55" s="1"/>
  <c r="D3" i="44" s="1"/>
  <c r="K42" i="54"/>
  <c r="K42" i="55" s="1"/>
  <c r="B3" i="44" s="1"/>
  <c r="AD41" i="54"/>
  <c r="AD41" i="55" s="1"/>
  <c r="U2" i="44" s="1"/>
  <c r="AT46" i="54"/>
  <c r="AT46" i="55" s="1"/>
  <c r="AK7" i="44" s="1"/>
  <c r="AG45" i="54"/>
  <c r="AG45" i="55" s="1"/>
  <c r="X6" i="44" s="1"/>
  <c r="G45" i="54"/>
  <c r="G45" i="55" s="1"/>
  <c r="AS46" i="54"/>
  <c r="AS46" i="55" s="1"/>
  <c r="AJ7" i="44" s="1"/>
  <c r="AL42" i="54"/>
  <c r="AL42" i="55" s="1"/>
  <c r="AC3" i="44" s="1"/>
  <c r="AM41" i="54"/>
  <c r="AM41" i="55" s="1"/>
  <c r="AD2" i="44" s="1"/>
  <c r="AL44" i="54"/>
  <c r="AL44" i="55" s="1"/>
  <c r="AC5" i="44" s="1"/>
  <c r="AM43" i="54"/>
  <c r="AM43" i="55" s="1"/>
  <c r="AD4" i="44" s="1"/>
  <c r="AD46" i="54"/>
  <c r="AD46" i="55" s="1"/>
  <c r="U7" i="44" s="1"/>
  <c r="AE45" i="54"/>
  <c r="AE45" i="55" s="1"/>
  <c r="V6" i="44" s="1"/>
  <c r="AF44" i="54"/>
  <c r="AF44" i="55" s="1"/>
  <c r="W5" i="44" s="1"/>
  <c r="AH41" i="54"/>
  <c r="AH41" i="55" s="1"/>
  <c r="Y2" i="44" s="1"/>
  <c r="AF46" i="54"/>
  <c r="AF46" i="55" s="1"/>
  <c r="W7" i="44" s="1"/>
  <c r="AL46" i="54"/>
  <c r="AL46" i="55" s="1"/>
  <c r="AC7" i="44" s="1"/>
  <c r="D44" i="54"/>
  <c r="D44" i="55" s="1"/>
  <c r="K43" i="54"/>
  <c r="K43" i="55" s="1"/>
  <c r="B4" i="44" s="1"/>
  <c r="AB42" i="54"/>
  <c r="AB42" i="55" s="1"/>
  <c r="S3" i="44" s="1"/>
  <c r="AU41" i="54"/>
  <c r="AU41" i="55" s="1"/>
  <c r="AL2" i="44" s="1"/>
  <c r="AI46" i="54"/>
  <c r="AI46" i="55" s="1"/>
  <c r="Z7" i="44" s="1"/>
  <c r="I46" i="54"/>
  <c r="I46" i="55" s="1"/>
  <c r="T45" i="54"/>
  <c r="T45" i="55" s="1"/>
  <c r="K6" i="44" s="1"/>
  <c r="AM44" i="54"/>
  <c r="AM44" i="55" s="1"/>
  <c r="AD5" i="44" s="1"/>
  <c r="AE42" i="54"/>
  <c r="AE42" i="55" s="1"/>
  <c r="V3" i="44" s="1"/>
  <c r="P42" i="54"/>
  <c r="P42" i="55" s="1"/>
  <c r="G3" i="44" s="1"/>
  <c r="E42" i="54"/>
  <c r="E42" i="55" s="1"/>
  <c r="AI41" i="54"/>
  <c r="AI41" i="55" s="1"/>
  <c r="Z2" i="44" s="1"/>
  <c r="AF41" i="54"/>
  <c r="AF41" i="55" s="1"/>
  <c r="W2" i="44" s="1"/>
  <c r="Q41" i="54"/>
  <c r="Q41" i="55" s="1"/>
  <c r="H2" i="44" s="1"/>
  <c r="F41" i="54"/>
  <c r="F41" i="55" s="1"/>
  <c r="AK46" i="54"/>
  <c r="AK46" i="55" s="1"/>
  <c r="AB7" i="44" s="1"/>
  <c r="V46" i="54"/>
  <c r="V46" i="55" s="1"/>
  <c r="M7" i="44" s="1"/>
  <c r="AP46" i="54"/>
  <c r="AP46" i="55" s="1"/>
  <c r="AG7" i="44" s="1"/>
  <c r="D46" i="54"/>
  <c r="D46" i="55" s="1"/>
  <c r="O43" i="54"/>
  <c r="O43" i="55" s="1"/>
  <c r="F4" i="44" s="1"/>
  <c r="AH42" i="54"/>
  <c r="AH42" i="55" s="1"/>
  <c r="Y3" i="44" s="1"/>
  <c r="U41" i="54"/>
  <c r="U41" i="55" s="1"/>
  <c r="L2" i="44" s="1"/>
  <c r="AO46" i="54"/>
  <c r="AO46" i="55" s="1"/>
  <c r="AF7" i="44" s="1"/>
  <c r="G46" i="54"/>
  <c r="G46" i="55" s="1"/>
  <c r="Z45" i="54"/>
  <c r="Z45" i="55" s="1"/>
  <c r="Q6" i="44" s="1"/>
  <c r="AU42" i="54"/>
  <c r="AU42" i="55" s="1"/>
  <c r="AL3" i="44" s="1"/>
  <c r="AF42" i="54"/>
  <c r="AF42" i="55" s="1"/>
  <c r="W3" i="44" s="1"/>
  <c r="U42" i="54"/>
  <c r="U42" i="55" s="1"/>
  <c r="L3" i="44" s="1"/>
  <c r="F42" i="54"/>
  <c r="F42" i="55" s="1"/>
  <c r="C42" i="54"/>
  <c r="C42" i="55" s="1"/>
  <c r="AG41" i="54"/>
  <c r="AG41" i="55" s="1"/>
  <c r="X2" i="44" s="1"/>
  <c r="V41" i="54"/>
  <c r="V41" i="55" s="1"/>
  <c r="M2" i="44" s="1"/>
  <c r="G41" i="54"/>
  <c r="G41" i="55" s="1"/>
  <c r="AJ46" i="54"/>
  <c r="AJ46" i="55" s="1"/>
  <c r="AA7" i="44" s="1"/>
  <c r="Q45" i="54"/>
  <c r="Q45" i="55" s="1"/>
  <c r="H6" i="44" s="1"/>
  <c r="X41" i="54"/>
  <c r="X41" i="55" s="1"/>
  <c r="O2" i="44" s="1"/>
  <c r="AN46" i="54"/>
  <c r="AN46" i="55" s="1"/>
  <c r="AE7" i="44" s="1"/>
  <c r="N46" i="54"/>
  <c r="N46" i="55" s="1"/>
  <c r="E7" i="44" s="1"/>
  <c r="AT44" i="54"/>
  <c r="AT44" i="55" s="1"/>
  <c r="AK5" i="44" s="1"/>
  <c r="T44" i="54"/>
  <c r="T44" i="55" s="1"/>
  <c r="K5" i="44" s="1"/>
  <c r="AE43" i="54"/>
  <c r="AE43" i="55" s="1"/>
  <c r="V4" i="44" s="1"/>
  <c r="E43" i="54"/>
  <c r="E43" i="55" s="1"/>
  <c r="AK44" i="54"/>
  <c r="AK44" i="55" s="1"/>
  <c r="AB5" i="44" s="1"/>
  <c r="V44" i="54"/>
  <c r="V44" i="55" s="1"/>
  <c r="M5" i="44" s="1"/>
  <c r="K44" i="54"/>
  <c r="K44" i="55" s="1"/>
  <c r="B5" i="44" s="1"/>
  <c r="AO43" i="54"/>
  <c r="AO43" i="55" s="1"/>
  <c r="AF4" i="44" s="1"/>
  <c r="AL43" i="54"/>
  <c r="AL43" i="55" s="1"/>
  <c r="AC4" i="44" s="1"/>
  <c r="W43" i="54"/>
  <c r="W43" i="55" s="1"/>
  <c r="N4" i="44" s="1"/>
  <c r="L43" i="54"/>
  <c r="L43" i="55" s="1"/>
  <c r="C4" i="44" s="1"/>
  <c r="AP42" i="54"/>
  <c r="AP42" i="55" s="1"/>
  <c r="AG3" i="44" s="1"/>
  <c r="AK41" i="54"/>
  <c r="AK41" i="55" s="1"/>
  <c r="AB2" i="44" s="1"/>
  <c r="M44" i="54"/>
  <c r="M44" i="55" s="1"/>
  <c r="D5" i="44" s="1"/>
  <c r="D45" i="54"/>
  <c r="D45" i="55" s="1"/>
  <c r="W44" i="54"/>
  <c r="W44" i="55" s="1"/>
  <c r="N5" i="44" s="1"/>
  <c r="J43" i="54"/>
  <c r="J43" i="55" s="1"/>
  <c r="AC42" i="54"/>
  <c r="AC42" i="55" s="1"/>
  <c r="T3" i="44" s="1"/>
  <c r="AN41" i="54"/>
  <c r="AN41" i="55" s="1"/>
  <c r="AE2" i="44" s="1"/>
  <c r="AH43" i="54"/>
  <c r="AH43" i="55" s="1"/>
  <c r="Y4" i="44" s="1"/>
  <c r="AI42" i="54"/>
  <c r="AI42" i="55" s="1"/>
  <c r="Z3" i="44" s="1"/>
  <c r="R44" i="54"/>
  <c r="R44" i="55" s="1"/>
  <c r="I5" i="44" s="1"/>
  <c r="AA44" i="54"/>
  <c r="AA44" i="55" s="1"/>
  <c r="R5" i="44" s="1"/>
  <c r="AB43" i="54"/>
  <c r="AB43" i="55" s="1"/>
  <c r="S4" i="44" s="1"/>
  <c r="AA46" i="54"/>
  <c r="AA46" i="55" s="1"/>
  <c r="R7" i="44" s="1"/>
  <c r="AB45" i="54"/>
  <c r="AB45" i="55" s="1"/>
  <c r="S6" i="44" s="1"/>
  <c r="G44" i="54"/>
  <c r="G44" i="55" s="1"/>
  <c r="S41" i="54"/>
  <c r="S41" i="55" s="1"/>
  <c r="J2" i="44" s="1"/>
  <c r="U46" i="54"/>
  <c r="U46" i="55" s="1"/>
  <c r="L7" i="44" s="1"/>
  <c r="T41" i="54"/>
  <c r="T41" i="55" s="1"/>
  <c r="K2" i="44" s="1"/>
  <c r="AF45" i="54"/>
  <c r="AF45" i="55" s="1"/>
  <c r="W6" i="44" s="1"/>
  <c r="AD42" i="54"/>
  <c r="AD42" i="55" s="1"/>
  <c r="U3" i="44" s="1"/>
  <c r="U45" i="54"/>
  <c r="U45" i="55" s="1"/>
  <c r="L6" i="44" s="1"/>
  <c r="AN44" i="54"/>
  <c r="AN44" i="55" s="1"/>
  <c r="AE5" i="44" s="1"/>
  <c r="AA43" i="54"/>
  <c r="AA43" i="55" s="1"/>
  <c r="R4" i="44" s="1"/>
  <c r="AT42" i="54"/>
  <c r="AT42" i="55" s="1"/>
  <c r="AK3" i="44" s="1"/>
  <c r="L42" i="54"/>
  <c r="L42" i="55" s="1"/>
  <c r="C3" i="44" s="1"/>
  <c r="AE41" i="54"/>
  <c r="AE41" i="55" s="1"/>
  <c r="V2" i="44" s="1"/>
  <c r="E44" i="54"/>
  <c r="E44" i="55" s="1"/>
  <c r="AI43" i="54"/>
  <c r="AI43" i="55" s="1"/>
  <c r="Z4" i="44" s="1"/>
  <c r="X43" i="54"/>
  <c r="X43" i="55" s="1"/>
  <c r="O4" i="44" s="1"/>
  <c r="I43" i="54"/>
  <c r="I43" i="55" s="1"/>
  <c r="F43" i="54"/>
  <c r="F43" i="55" s="1"/>
  <c r="AJ42" i="54"/>
  <c r="AJ42" i="55" s="1"/>
  <c r="AA3" i="44" s="1"/>
  <c r="Y42" i="54"/>
  <c r="Y42" i="55" s="1"/>
  <c r="P3" i="44" s="1"/>
  <c r="J42" i="54"/>
  <c r="J42" i="55" s="1"/>
  <c r="E41" i="54"/>
  <c r="E41" i="55" s="1"/>
  <c r="X42" i="54"/>
  <c r="X42" i="55" s="1"/>
  <c r="O3" i="44" s="1"/>
  <c r="W45" i="54"/>
  <c r="W45" i="55" s="1"/>
  <c r="N6" i="44" s="1"/>
  <c r="H46" i="54"/>
  <c r="H46" i="55" s="1"/>
  <c r="AA45" i="54"/>
  <c r="AA45" i="55" s="1"/>
  <c r="R6" i="44" s="1"/>
  <c r="N44" i="54"/>
  <c r="N44" i="55" s="1"/>
  <c r="E5" i="44" s="1"/>
  <c r="AG43" i="54"/>
  <c r="AG43" i="55" s="1"/>
  <c r="X4" i="44" s="1"/>
  <c r="AR42" i="54"/>
  <c r="AR42" i="55" s="1"/>
  <c r="AI3" i="44" s="1"/>
  <c r="R42" i="54"/>
  <c r="R42" i="55" s="1"/>
  <c r="I3" i="44" s="1"/>
  <c r="U44" i="54"/>
  <c r="U44" i="55" s="1"/>
  <c r="L5" i="44" s="1"/>
  <c r="F44" i="54"/>
  <c r="F44" i="55" s="1"/>
  <c r="AN43" i="54"/>
  <c r="AN43" i="55" s="1"/>
  <c r="AE4" i="44" s="1"/>
  <c r="Y43" i="54"/>
  <c r="Y43" i="55" s="1"/>
  <c r="P4" i="44" s="1"/>
  <c r="V43" i="54"/>
  <c r="V43" i="55" s="1"/>
  <c r="M4" i="44" s="1"/>
  <c r="G43" i="54"/>
  <c r="G43" i="55" s="1"/>
  <c r="AO42" i="54"/>
  <c r="AO42" i="55" s="1"/>
  <c r="AF3" i="44" s="1"/>
  <c r="Z42" i="54"/>
  <c r="Z42" i="55" s="1"/>
  <c r="Q3" i="44" s="1"/>
  <c r="AS44" i="54"/>
  <c r="AS44" i="55" s="1"/>
  <c r="AJ5" i="44" s="1"/>
  <c r="AJ44" i="54"/>
  <c r="AJ44" i="55" s="1"/>
  <c r="AA5" i="44" s="1"/>
  <c r="Q44" i="54"/>
  <c r="Q44" i="55" s="1"/>
  <c r="H5" i="44" s="1"/>
  <c r="AJ43" i="54"/>
  <c r="AJ43" i="55" s="1"/>
  <c r="AA4" i="44" s="1"/>
  <c r="W42" i="54"/>
  <c r="W42" i="55" s="1"/>
  <c r="N3" i="44" s="1"/>
  <c r="AP41" i="54"/>
  <c r="AP41" i="55" s="1"/>
  <c r="AG2" i="44" s="1"/>
  <c r="H41" i="54"/>
  <c r="H41" i="55" s="1"/>
  <c r="X46" i="54"/>
  <c r="X46" i="55" s="1"/>
  <c r="O7" i="44" s="1"/>
  <c r="AQ45" i="54"/>
  <c r="AQ45" i="55" s="1"/>
  <c r="AH6" i="44" s="1"/>
  <c r="K46" i="54"/>
  <c r="K46" i="55" s="1"/>
  <c r="B7" i="44" s="1"/>
  <c r="AO45" i="54"/>
  <c r="AO45" i="55" s="1"/>
  <c r="AF6" i="44" s="1"/>
  <c r="AD45" i="54"/>
  <c r="AD45" i="55" s="1"/>
  <c r="U6" i="44" s="1"/>
  <c r="O45" i="54"/>
  <c r="O45" i="55" s="1"/>
  <c r="F6" i="44" s="1"/>
  <c r="L45" i="54"/>
  <c r="L45" i="55" s="1"/>
  <c r="C6" i="44" s="1"/>
  <c r="AP44" i="54"/>
  <c r="AP44" i="55" s="1"/>
  <c r="AG5" i="44" s="1"/>
  <c r="AE44" i="54"/>
  <c r="AE44" i="55" s="1"/>
  <c r="V5" i="44" s="1"/>
  <c r="P44" i="54"/>
  <c r="P44" i="55" s="1"/>
  <c r="G5" i="44" s="1"/>
  <c r="K41" i="54"/>
  <c r="K41" i="55" s="1"/>
  <c r="B2" i="44" s="1"/>
  <c r="S46" i="54"/>
  <c r="S46" i="55" s="1"/>
  <c r="J7" i="44" s="1"/>
  <c r="AO41" i="54"/>
  <c r="AO41" i="55" s="1"/>
  <c r="AF2" i="44" s="1"/>
  <c r="O41" i="54"/>
  <c r="O41" i="55" s="1"/>
  <c r="F2" i="44" s="1"/>
  <c r="C46" i="54"/>
  <c r="C46" i="55" s="1"/>
  <c r="V45" i="54"/>
  <c r="V45" i="55" s="1"/>
  <c r="M6" i="44" s="1"/>
  <c r="AG44" i="54"/>
  <c r="AG44" i="55" s="1"/>
  <c r="X5" i="44" s="1"/>
  <c r="S43" i="54"/>
  <c r="S43" i="55" s="1"/>
  <c r="J4" i="44" s="1"/>
  <c r="T42" i="54"/>
  <c r="T42" i="55" s="1"/>
  <c r="K3" i="44" s="1"/>
  <c r="AK43" i="54"/>
  <c r="AK43" i="55" s="1"/>
  <c r="AB4" i="44" s="1"/>
  <c r="L44" i="54"/>
  <c r="L44" i="55" s="1"/>
  <c r="C5" i="44" s="1"/>
  <c r="M43" i="54"/>
  <c r="M43" i="55" s="1"/>
  <c r="D4" i="44" s="1"/>
  <c r="L46" i="54"/>
  <c r="L46" i="55" s="1"/>
  <c r="C7" i="44" s="1"/>
  <c r="M45" i="54"/>
  <c r="M45" i="55" s="1"/>
  <c r="D6" i="44" s="1"/>
  <c r="O42" i="54"/>
  <c r="O42" i="55" s="1"/>
  <c r="F3" i="44" s="1"/>
  <c r="P41" i="54"/>
  <c r="P41" i="55" s="1"/>
  <c r="G2" i="44" s="1"/>
  <c r="F46" i="54"/>
  <c r="F46" i="55" s="1"/>
  <c r="Y46" i="54"/>
  <c r="Y46" i="55" s="1"/>
  <c r="P7" i="44" s="1"/>
  <c r="F45" i="54"/>
  <c r="F45" i="55" s="1"/>
  <c r="AQ42" i="54"/>
  <c r="AQ42" i="55" s="1"/>
  <c r="AH3" i="44" s="1"/>
  <c r="Q42" i="54"/>
  <c r="Q42" i="55" s="1"/>
  <c r="H3" i="44" s="1"/>
  <c r="D41" i="54"/>
  <c r="D41" i="55" s="1"/>
  <c r="T46" i="54"/>
  <c r="T46" i="55" s="1"/>
  <c r="K7" i="44" s="1"/>
  <c r="AM45" i="54"/>
  <c r="AM45" i="55" s="1"/>
  <c r="AD6" i="44" s="1"/>
  <c r="E45" i="54"/>
  <c r="E45" i="55" s="1"/>
  <c r="X44" i="54"/>
  <c r="X44" i="55" s="1"/>
  <c r="O5" i="44" s="1"/>
  <c r="X45" i="54"/>
  <c r="X45" i="55" s="1"/>
  <c r="O6" i="44" s="1"/>
  <c r="I45" i="54"/>
  <c r="I45" i="55" s="1"/>
  <c r="AQ44" i="54"/>
  <c r="AQ44" i="55" s="1"/>
  <c r="AH5" i="44" s="1"/>
  <c r="AB44" i="54"/>
  <c r="AB44" i="55" s="1"/>
  <c r="S5" i="44" s="1"/>
  <c r="Y44" i="54"/>
  <c r="Y44" i="55" s="1"/>
  <c r="P5" i="44" s="1"/>
  <c r="J44" i="54"/>
  <c r="J44" i="55" s="1"/>
  <c r="AR43" i="54"/>
  <c r="AR43" i="55" s="1"/>
  <c r="AI4" i="44" s="1"/>
  <c r="AC43" i="54"/>
  <c r="AC43" i="55" s="1"/>
  <c r="T4" i="44" s="1"/>
  <c r="G42" i="54"/>
  <c r="G42" i="55" s="1"/>
  <c r="AQ41" i="54"/>
  <c r="AQ41" i="55" s="1"/>
  <c r="AH2" i="44" s="1"/>
  <c r="AD43" i="54"/>
  <c r="AD43" i="55" s="1"/>
  <c r="U4" i="44" s="1"/>
  <c r="D43" i="54"/>
  <c r="D43" i="55" s="1"/>
  <c r="AJ41" i="54"/>
  <c r="AJ41" i="55" s="1"/>
  <c r="AA2" i="44" s="1"/>
  <c r="J41" i="54"/>
  <c r="J41" i="55" s="1"/>
  <c r="Z46" i="54"/>
  <c r="Z46" i="55" s="1"/>
  <c r="Q7" i="44" s="1"/>
  <c r="AK45" i="54"/>
  <c r="AK45" i="55" s="1"/>
  <c r="AB6" i="44" s="1"/>
  <c r="K45" i="54"/>
  <c r="K45" i="55" s="1"/>
  <c r="B6" i="44" s="1"/>
  <c r="AN45" i="54"/>
  <c r="AN45" i="55" s="1"/>
  <c r="AE6" i="44" s="1"/>
  <c r="Y45" i="54"/>
  <c r="Y45" i="55" s="1"/>
  <c r="P6" i="44" s="1"/>
  <c r="N45" i="54"/>
  <c r="N45" i="55" s="1"/>
  <c r="E6" i="44" s="1"/>
  <c r="AR44" i="54"/>
  <c r="AR44" i="55" s="1"/>
  <c r="AI5" i="44" s="1"/>
  <c r="AO44" i="54"/>
  <c r="AO44" i="55" s="1"/>
  <c r="AF5" i="44" s="1"/>
  <c r="Z44" i="54"/>
  <c r="Z44" i="55" s="1"/>
  <c r="Q5" i="44" s="1"/>
  <c r="O44" i="54"/>
  <c r="O44" i="55" s="1"/>
  <c r="F5" i="44" s="1"/>
  <c r="AS43" i="54"/>
  <c r="AS43" i="55" s="1"/>
  <c r="AJ4" i="44" s="1"/>
  <c r="S44" i="54"/>
  <c r="S44" i="55" s="1"/>
  <c r="J5" i="44" s="1"/>
  <c r="Z43" i="54"/>
  <c r="Z43" i="55" s="1"/>
  <c r="Q4" i="44" s="1"/>
  <c r="I41" i="54"/>
  <c r="I41" i="55" s="1"/>
  <c r="AC46" i="54"/>
  <c r="AC46" i="55" s="1"/>
  <c r="T7" i="44" s="1"/>
  <c r="P45" i="54"/>
  <c r="P45" i="55" s="1"/>
  <c r="G6" i="44" s="1"/>
  <c r="AI44" i="54"/>
  <c r="AI44" i="55" s="1"/>
  <c r="Z5" i="44" s="1"/>
  <c r="AT43" i="54"/>
  <c r="AT43" i="55" s="1"/>
  <c r="AK4" i="44" s="1"/>
  <c r="T43" i="54"/>
  <c r="T43" i="55" s="1"/>
  <c r="K4" i="44" s="1"/>
  <c r="AR41" i="54"/>
  <c r="AR41" i="55" s="1"/>
  <c r="AI2" i="44" s="1"/>
  <c r="AC41" i="54"/>
  <c r="AC41" i="55" s="1"/>
  <c r="T2" i="44" s="1"/>
  <c r="R41" i="54"/>
  <c r="R41" i="55" s="1"/>
  <c r="I2" i="44" s="1"/>
  <c r="C41" i="54"/>
  <c r="C41" i="55" s="1"/>
  <c r="AH46" i="54"/>
  <c r="AH46" i="55" s="1"/>
  <c r="Y7" i="44" s="1"/>
  <c r="AE46" i="54"/>
  <c r="AE46" i="55" s="1"/>
  <c r="V7" i="44" s="1"/>
  <c r="P46" i="54"/>
  <c r="P46" i="55" s="1"/>
  <c r="G7" i="44" s="1"/>
  <c r="E46" i="54"/>
  <c r="E46" i="55" s="1"/>
  <c r="AI45" i="54"/>
  <c r="AI45" i="55" s="1"/>
  <c r="Z6" i="44" s="1"/>
  <c r="AM42" i="54"/>
  <c r="AM42" i="55" s="1"/>
  <c r="AD3" i="44" s="1"/>
  <c r="AL45" i="54"/>
  <c r="AL45" i="55" s="1"/>
  <c r="AC6" i="44" s="1"/>
  <c r="AH44" i="54"/>
  <c r="AH44" i="55" s="1"/>
  <c r="Y5" i="44" s="1"/>
  <c r="H44" i="54"/>
  <c r="H44" i="55" s="1"/>
  <c r="AN42" i="54"/>
  <c r="AN42" i="55" s="1"/>
  <c r="AE3" i="44" s="1"/>
  <c r="N42" i="54"/>
  <c r="N42" i="55" s="1"/>
  <c r="E3" i="44" s="1"/>
  <c r="Y41" i="54"/>
  <c r="Y41" i="55" s="1"/>
  <c r="P2" i="44" s="1"/>
  <c r="H43" i="54"/>
  <c r="H43" i="55" s="1"/>
  <c r="I42" i="54"/>
  <c r="I42" i="55" s="1"/>
  <c r="H45" i="54"/>
  <c r="H45" i="55" s="1"/>
  <c r="I44" i="54"/>
  <c r="I44" i="55" s="1"/>
  <c r="N41" i="54"/>
  <c r="N41" i="55" s="1"/>
  <c r="E2" i="44" s="1"/>
  <c r="AT45" i="54"/>
  <c r="AT45" i="55" s="1"/>
  <c r="AK6" i="44" s="1"/>
  <c r="AU44" i="54"/>
  <c r="AU44" i="55" s="1"/>
  <c r="AL5" i="44" s="1"/>
  <c r="AS41" i="54"/>
  <c r="AS41" i="55" s="1"/>
  <c r="AJ2" i="44" s="1"/>
  <c r="AU46" i="54"/>
  <c r="AU46" i="55" s="1"/>
  <c r="AL7" i="44" s="1"/>
  <c r="AD7" i="54"/>
  <c r="AC9" i="54"/>
  <c r="AT10" i="54"/>
  <c r="AA9" i="54"/>
  <c r="O10" i="54"/>
  <c r="C5" i="54"/>
  <c r="Y8" i="54"/>
  <c r="N9" i="54"/>
  <c r="AU9" i="54"/>
  <c r="AI10" i="54"/>
  <c r="AR6" i="54"/>
  <c r="X7" i="54"/>
  <c r="U7" i="54"/>
  <c r="M5" i="54"/>
  <c r="AS9" i="54"/>
  <c r="AP8" i="54"/>
  <c r="AM7" i="54"/>
  <c r="AK10" i="54"/>
  <c r="AT8" i="54"/>
  <c r="AU8" i="54"/>
  <c r="AI9" i="54"/>
  <c r="W10" i="54"/>
  <c r="AE7" i="54"/>
  <c r="O7" i="54"/>
  <c r="V9" i="54"/>
  <c r="O9" i="54"/>
  <c r="N7" i="54"/>
  <c r="AM10" i="54"/>
  <c r="D9" i="54"/>
  <c r="Q7" i="54"/>
  <c r="AS10" i="54"/>
  <c r="J9" i="54"/>
  <c r="F5" i="54"/>
  <c r="S6" i="54"/>
  <c r="D5" i="54"/>
  <c r="AH6" i="54"/>
  <c r="AR10" i="54"/>
  <c r="AA6" i="54"/>
  <c r="Y10" i="54"/>
  <c r="F9" i="54"/>
  <c r="AF7" i="54"/>
  <c r="AM9" i="54"/>
  <c r="N8" i="54"/>
  <c r="D8" i="54"/>
  <c r="AK8" i="54"/>
  <c r="Z9" i="54"/>
  <c r="N10" i="54"/>
  <c r="AB6" i="54"/>
  <c r="X8" i="54"/>
  <c r="AA8" i="54"/>
  <c r="J10" i="54"/>
  <c r="AJ8" i="54"/>
  <c r="S7" i="54"/>
  <c r="Q5" i="54"/>
  <c r="AU6" i="54"/>
  <c r="D10" i="54"/>
  <c r="U10" i="54"/>
  <c r="G5" i="54"/>
  <c r="AF5" i="54"/>
  <c r="AH8" i="54"/>
  <c r="G10" i="54"/>
  <c r="AO10" i="54"/>
  <c r="AO6" i="54"/>
  <c r="AL5" i="54"/>
  <c r="AE10" i="54"/>
  <c r="L9" i="54"/>
  <c r="AL6" i="54"/>
  <c r="R7" i="54"/>
  <c r="T10" i="54"/>
  <c r="AP10" i="54"/>
  <c r="W5" i="54"/>
  <c r="C6" i="54"/>
  <c r="AN9" i="54"/>
  <c r="AC10" i="54"/>
  <c r="AI7" i="54"/>
  <c r="H8" i="54"/>
  <c r="K6" i="54"/>
  <c r="AQ7" i="54"/>
  <c r="M9" i="54"/>
  <c r="Q9" i="54"/>
  <c r="AU7" i="54"/>
  <c r="AQ9" i="54"/>
  <c r="D6" i="54"/>
  <c r="AJ10" i="54"/>
  <c r="AE5" i="54"/>
  <c r="AF9" i="54"/>
  <c r="AP7" i="54"/>
  <c r="W6" i="54"/>
  <c r="P6" i="54"/>
  <c r="O8" i="54"/>
  <c r="AF10" i="54"/>
  <c r="Z5" i="54"/>
  <c r="F6" i="54"/>
  <c r="AE6" i="54"/>
  <c r="AG9" i="54"/>
  <c r="AR9" i="54"/>
  <c r="R8" i="54"/>
  <c r="I8" i="54"/>
  <c r="AQ8" i="54"/>
  <c r="AE9" i="54"/>
  <c r="S10" i="54"/>
  <c r="C10" i="54"/>
  <c r="E8" i="54"/>
  <c r="AJ6" i="54"/>
  <c r="P7" i="54"/>
  <c r="AT7" i="54"/>
  <c r="AI8" i="54"/>
  <c r="U5" i="54"/>
  <c r="F7" i="54"/>
  <c r="H10" i="54"/>
  <c r="Z10" i="54"/>
  <c r="K5" i="54"/>
  <c r="AJ5" i="54"/>
  <c r="AL8" i="54"/>
  <c r="O5" i="54"/>
  <c r="AT9" i="54"/>
  <c r="G7" i="54"/>
  <c r="AH7" i="54"/>
  <c r="W8" i="54"/>
  <c r="K9" i="54"/>
  <c r="AP6" i="54"/>
  <c r="V7" i="54"/>
  <c r="X10" i="54"/>
  <c r="AU10" i="54"/>
  <c r="AA5" i="54"/>
  <c r="G6" i="54"/>
  <c r="R9" i="54"/>
  <c r="AB7" i="54"/>
  <c r="L6" i="54"/>
  <c r="AF6" i="54"/>
  <c r="J5" i="54"/>
  <c r="W9" i="54"/>
  <c r="AC6" i="54"/>
  <c r="N5" i="54"/>
  <c r="AB9" i="54"/>
  <c r="V10" i="54"/>
  <c r="W7" i="54"/>
  <c r="H6" i="54"/>
  <c r="AL7" i="54"/>
  <c r="C9" i="54"/>
  <c r="AC7" i="54"/>
  <c r="Y6" i="54"/>
  <c r="T6" i="54"/>
  <c r="AS6" i="54"/>
  <c r="E5" i="54"/>
  <c r="AD5" i="54"/>
  <c r="J6" i="54"/>
  <c r="AI6" i="54"/>
  <c r="AK9" i="54"/>
  <c r="E10" i="54"/>
  <c r="V8" i="54"/>
  <c r="J8" i="54"/>
  <c r="X5" i="54"/>
  <c r="M10" i="54"/>
  <c r="AM8" i="54"/>
  <c r="T8" i="54"/>
  <c r="AD10" i="54"/>
  <c r="AN6" i="54"/>
  <c r="T7" i="54"/>
  <c r="G8" i="54"/>
  <c r="AN8" i="54"/>
  <c r="Y5" i="54"/>
  <c r="J7" i="54"/>
  <c r="L10" i="54"/>
  <c r="V5" i="54"/>
  <c r="AQ6" i="54"/>
  <c r="AN5" i="54"/>
  <c r="AH10" i="54"/>
  <c r="R10" i="54"/>
  <c r="AA7" i="54"/>
  <c r="K7" i="54"/>
  <c r="AN7" i="54"/>
  <c r="AB8" i="54"/>
  <c r="P9" i="54"/>
  <c r="AT6" i="54"/>
  <c r="Z7" i="54"/>
  <c r="AB10" i="54"/>
  <c r="AC8" i="54"/>
  <c r="F10" i="54"/>
  <c r="P8" i="54"/>
  <c r="AI5" i="54"/>
  <c r="K10" i="54"/>
  <c r="U8" i="54"/>
  <c r="I6" i="54"/>
  <c r="I7" i="54"/>
  <c r="AM5" i="54"/>
  <c r="K8" i="54"/>
  <c r="AG6" i="54"/>
  <c r="R5" i="54"/>
  <c r="AK7" i="54"/>
  <c r="AR8" i="54"/>
  <c r="Q19" i="54"/>
  <c r="Q19" i="55" s="1"/>
  <c r="H7" i="41" s="1"/>
  <c r="AQ17" i="54"/>
  <c r="AQ17" i="55" s="1"/>
  <c r="AH5" i="41" s="1"/>
  <c r="X16" i="54"/>
  <c r="X16" i="55" s="1"/>
  <c r="O4" i="41" s="1"/>
  <c r="E15" i="54"/>
  <c r="E15" i="55" s="1"/>
  <c r="AB19" i="54"/>
  <c r="AB19" i="55" s="1"/>
  <c r="S7" i="41" s="1"/>
  <c r="I18" i="54"/>
  <c r="I18" i="55" s="1"/>
  <c r="AI16" i="54"/>
  <c r="AI16" i="55" s="1"/>
  <c r="Z4" i="41" s="1"/>
  <c r="P15" i="54"/>
  <c r="P15" i="55" s="1"/>
  <c r="G3" i="41" s="1"/>
  <c r="H18" i="54"/>
  <c r="H18" i="55" s="1"/>
  <c r="O15" i="54"/>
  <c r="O15" i="55" s="1"/>
  <c r="F3" i="41" s="1"/>
  <c r="AM18" i="54"/>
  <c r="AM18" i="55" s="1"/>
  <c r="AD6" i="41" s="1"/>
  <c r="AT15" i="54"/>
  <c r="AT15" i="55" s="1"/>
  <c r="AK3" i="41" s="1"/>
  <c r="AE19" i="54"/>
  <c r="AE19" i="55" s="1"/>
  <c r="V7" i="41" s="1"/>
  <c r="AL16" i="54"/>
  <c r="AL16" i="55" s="1"/>
  <c r="AC4" i="41" s="1"/>
  <c r="M14" i="54"/>
  <c r="M14" i="55" s="1"/>
  <c r="D2" i="41" s="1"/>
  <c r="AF17" i="54"/>
  <c r="AF17" i="55" s="1"/>
  <c r="W5" i="41" s="1"/>
  <c r="AM14" i="54"/>
  <c r="AM14" i="55" s="1"/>
  <c r="AD2" i="41" s="1"/>
  <c r="I19" i="54"/>
  <c r="I19" i="55" s="1"/>
  <c r="AI17" i="54"/>
  <c r="AI17" i="55" s="1"/>
  <c r="Z5" i="41" s="1"/>
  <c r="P16" i="54"/>
  <c r="P16" i="55" s="1"/>
  <c r="G4" i="41" s="1"/>
  <c r="AP14" i="54"/>
  <c r="AP14" i="55" s="1"/>
  <c r="AG2" i="41" s="1"/>
  <c r="T19" i="54"/>
  <c r="T19" i="55" s="1"/>
  <c r="K7" i="41" s="1"/>
  <c r="AT17" i="54"/>
  <c r="AT17" i="55" s="1"/>
  <c r="AK5" i="41" s="1"/>
  <c r="AA16" i="54"/>
  <c r="AA16" i="55" s="1"/>
  <c r="R4" i="41" s="1"/>
  <c r="H15" i="54"/>
  <c r="H15" i="55" s="1"/>
  <c r="AK17" i="54"/>
  <c r="AK17" i="55" s="1"/>
  <c r="AB5" i="41" s="1"/>
  <c r="AR14" i="54"/>
  <c r="AR14" i="55" s="1"/>
  <c r="AI2" i="41" s="1"/>
  <c r="W18" i="54"/>
  <c r="W18" i="55" s="1"/>
  <c r="N6" i="41" s="1"/>
  <c r="AD15" i="54"/>
  <c r="AD15" i="55" s="1"/>
  <c r="U3" i="41" s="1"/>
  <c r="O19" i="54"/>
  <c r="O19" i="55" s="1"/>
  <c r="F7" i="41" s="1"/>
  <c r="V16" i="54"/>
  <c r="V16" i="55" s="1"/>
  <c r="M4" i="41" s="1"/>
  <c r="C14" i="54"/>
  <c r="C14" i="55" s="1"/>
  <c r="P17" i="54"/>
  <c r="P17" i="55" s="1"/>
  <c r="G5" i="41" s="1"/>
  <c r="AB14" i="54"/>
  <c r="AB14" i="55" s="1"/>
  <c r="S2" i="41" s="1"/>
  <c r="M19" i="54"/>
  <c r="M19" i="55" s="1"/>
  <c r="D7" i="41" s="1"/>
  <c r="AM17" i="54"/>
  <c r="AM17" i="55" s="1"/>
  <c r="AD5" i="41" s="1"/>
  <c r="T16" i="54"/>
  <c r="T16" i="55" s="1"/>
  <c r="K4" i="41" s="1"/>
  <c r="AT14" i="54"/>
  <c r="AT14" i="55" s="1"/>
  <c r="AK2" i="41" s="1"/>
  <c r="X19" i="54"/>
  <c r="X19" i="55" s="1"/>
  <c r="O7" i="41" s="1"/>
  <c r="E18" i="54"/>
  <c r="E18" i="55" s="1"/>
  <c r="AE16" i="54"/>
  <c r="AE16" i="55" s="1"/>
  <c r="V4" i="41" s="1"/>
  <c r="L15" i="54"/>
  <c r="L15" i="55" s="1"/>
  <c r="C3" i="41" s="1"/>
  <c r="AS17" i="54"/>
  <c r="AS17" i="55" s="1"/>
  <c r="AJ5" i="41" s="1"/>
  <c r="G15" i="54"/>
  <c r="G15" i="55" s="1"/>
  <c r="AE18" i="54"/>
  <c r="AE18" i="55" s="1"/>
  <c r="V6" i="41" s="1"/>
  <c r="AL15" i="54"/>
  <c r="AL15" i="55" s="1"/>
  <c r="AC3" i="41" s="1"/>
  <c r="W19" i="54"/>
  <c r="W19" i="55" s="1"/>
  <c r="N7" i="41" s="1"/>
  <c r="AD16" i="54"/>
  <c r="AD16" i="55" s="1"/>
  <c r="U4" i="41" s="1"/>
  <c r="H14" i="54"/>
  <c r="H14" i="55" s="1"/>
  <c r="X17" i="54"/>
  <c r="X17" i="55" s="1"/>
  <c r="O5" i="41" s="1"/>
  <c r="AG14" i="54"/>
  <c r="AG14" i="55" s="1"/>
  <c r="X2" i="41" s="1"/>
  <c r="E19" i="54"/>
  <c r="E19" i="55" s="1"/>
  <c r="AE17" i="54"/>
  <c r="AE17" i="55" s="1"/>
  <c r="V5" i="41" s="1"/>
  <c r="L16" i="54"/>
  <c r="L16" i="55" s="1"/>
  <c r="C4" i="41" s="1"/>
  <c r="AL14" i="54"/>
  <c r="AL14" i="55" s="1"/>
  <c r="AC2" i="41" s="1"/>
  <c r="P19" i="54"/>
  <c r="P19" i="55" s="1"/>
  <c r="G7" i="41" s="1"/>
  <c r="AP17" i="54"/>
  <c r="AP17" i="55" s="1"/>
  <c r="AG5" i="41" s="1"/>
  <c r="W16" i="54"/>
  <c r="W16" i="55" s="1"/>
  <c r="N4" i="41" s="1"/>
  <c r="D15" i="54"/>
  <c r="D15" i="55" s="1"/>
  <c r="AC17" i="54"/>
  <c r="AC17" i="55" s="1"/>
  <c r="T5" i="41" s="1"/>
  <c r="AK14" i="54"/>
  <c r="AK14" i="55" s="1"/>
  <c r="AB2" i="41" s="1"/>
  <c r="O18" i="54"/>
  <c r="O18" i="55" s="1"/>
  <c r="F6" i="41" s="1"/>
  <c r="V15" i="54"/>
  <c r="V15" i="55" s="1"/>
  <c r="M3" i="41" s="1"/>
  <c r="G19" i="54"/>
  <c r="G19" i="55" s="1"/>
  <c r="N16" i="54"/>
  <c r="N16" i="55" s="1"/>
  <c r="E4" i="41" s="1"/>
  <c r="AT19" i="54"/>
  <c r="AT19" i="55" s="1"/>
  <c r="AK7" i="41" s="1"/>
  <c r="H17" i="54"/>
  <c r="H17" i="55" s="1"/>
  <c r="W14" i="54"/>
  <c r="W14" i="55" s="1"/>
  <c r="N2" i="41" s="1"/>
  <c r="AT18" i="54"/>
  <c r="AT18" i="55" s="1"/>
  <c r="AK6" i="41" s="1"/>
  <c r="AA17" i="54"/>
  <c r="AA17" i="55" s="1"/>
  <c r="R5" i="41" s="1"/>
  <c r="H16" i="54"/>
  <c r="H16" i="55" s="1"/>
  <c r="AH14" i="54"/>
  <c r="AH14" i="55" s="1"/>
  <c r="Y2" i="41" s="1"/>
  <c r="L19" i="54"/>
  <c r="L19" i="55" s="1"/>
  <c r="C7" i="41" s="1"/>
  <c r="AL17" i="54"/>
  <c r="AL17" i="55" s="1"/>
  <c r="AC5" i="41" s="1"/>
  <c r="S16" i="54"/>
  <c r="S16" i="55" s="1"/>
  <c r="J4" i="41" s="1"/>
  <c r="AS14" i="54"/>
  <c r="AS14" i="55" s="1"/>
  <c r="AJ2" i="41" s="1"/>
  <c r="U17" i="54"/>
  <c r="U17" i="55" s="1"/>
  <c r="L5" i="41" s="1"/>
  <c r="AF14" i="54"/>
  <c r="AF14" i="55" s="1"/>
  <c r="W2" i="41" s="1"/>
  <c r="G18" i="54"/>
  <c r="G18" i="55" s="1"/>
  <c r="N15" i="54"/>
  <c r="N15" i="55" s="1"/>
  <c r="E3" i="41" s="1"/>
  <c r="AR18" i="54"/>
  <c r="AR18" i="55" s="1"/>
  <c r="AI6" i="41" s="1"/>
  <c r="F16" i="54"/>
  <c r="F16" i="55" s="1"/>
  <c r="AL19" i="54"/>
  <c r="AL19" i="55" s="1"/>
  <c r="AC7" i="41" s="1"/>
  <c r="AS16" i="54"/>
  <c r="AS16" i="55" s="1"/>
  <c r="AJ4" i="41" s="1"/>
  <c r="Q14" i="54"/>
  <c r="Q14" i="55" s="1"/>
  <c r="H2" i="41" s="1"/>
  <c r="AL18" i="54"/>
  <c r="AL18" i="55" s="1"/>
  <c r="AC6" i="41" s="1"/>
  <c r="S17" i="54"/>
  <c r="S17" i="55" s="1"/>
  <c r="J5" i="41" s="1"/>
  <c r="AS15" i="54"/>
  <c r="AS15" i="55" s="1"/>
  <c r="AJ3" i="41" s="1"/>
  <c r="Z14" i="54"/>
  <c r="Z14" i="55" s="1"/>
  <c r="Q2" i="41" s="1"/>
  <c r="D19" i="54"/>
  <c r="D19" i="55" s="1"/>
  <c r="AD17" i="54"/>
  <c r="AD17" i="55" s="1"/>
  <c r="U5" i="41" s="1"/>
  <c r="K16" i="54"/>
  <c r="K16" i="55" s="1"/>
  <c r="B4" i="41" s="1"/>
  <c r="AQ19" i="54"/>
  <c r="AQ19" i="55" s="1"/>
  <c r="AH7" i="41" s="1"/>
  <c r="E17" i="54"/>
  <c r="E17" i="55" s="1"/>
  <c r="U14" i="54"/>
  <c r="U14" i="55" s="1"/>
  <c r="L2" i="41" s="1"/>
  <c r="AJ17" i="54"/>
  <c r="AJ17" i="55" s="1"/>
  <c r="AA5" i="41" s="1"/>
  <c r="AQ14" i="54"/>
  <c r="AQ14" i="55" s="1"/>
  <c r="AH2" i="41" s="1"/>
  <c r="AB18" i="54"/>
  <c r="AB18" i="55" s="1"/>
  <c r="S6" i="41" s="1"/>
  <c r="AI15" i="54"/>
  <c r="AI15" i="55" s="1"/>
  <c r="Z3" i="41" s="1"/>
  <c r="V19" i="54"/>
  <c r="V19" i="55" s="1"/>
  <c r="M7" i="41" s="1"/>
  <c r="AC16" i="54"/>
  <c r="AC16" i="55" s="1"/>
  <c r="T4" i="41" s="1"/>
  <c r="G14" i="54"/>
  <c r="G14" i="55" s="1"/>
  <c r="AP18" i="54"/>
  <c r="AP18" i="55" s="1"/>
  <c r="AG6" i="41" s="1"/>
  <c r="W17" i="54"/>
  <c r="W17" i="55" s="1"/>
  <c r="N5" i="41" s="1"/>
  <c r="D16" i="54"/>
  <c r="D16" i="55" s="1"/>
  <c r="AD14" i="54"/>
  <c r="AD14" i="55" s="1"/>
  <c r="U2" i="41" s="1"/>
  <c r="H19" i="54"/>
  <c r="H19" i="55" s="1"/>
  <c r="AH17" i="54"/>
  <c r="AH17" i="55" s="1"/>
  <c r="Y5" i="41" s="1"/>
  <c r="O16" i="54"/>
  <c r="O16" i="55" s="1"/>
  <c r="F4" i="41" s="1"/>
  <c r="AO14" i="54"/>
  <c r="AO14" i="55" s="1"/>
  <c r="AF2" i="41" s="1"/>
  <c r="M17" i="54"/>
  <c r="M17" i="55" s="1"/>
  <c r="D5" i="41" s="1"/>
  <c r="AA14" i="54"/>
  <c r="AA14" i="55" s="1"/>
  <c r="R2" i="41" s="1"/>
  <c r="AR17" i="54"/>
  <c r="AR17" i="55" s="1"/>
  <c r="AI5" i="41" s="1"/>
  <c r="F15" i="54"/>
  <c r="F15" i="55" s="1"/>
  <c r="AJ18" i="54"/>
  <c r="AJ18" i="55" s="1"/>
  <c r="AA6" i="41" s="1"/>
  <c r="AQ15" i="54"/>
  <c r="AQ15" i="55" s="1"/>
  <c r="AH3" i="41" s="1"/>
  <c r="AD19" i="54"/>
  <c r="AD19" i="55" s="1"/>
  <c r="U7" i="41" s="1"/>
  <c r="AK16" i="54"/>
  <c r="AK16" i="55" s="1"/>
  <c r="AB4" i="41" s="1"/>
  <c r="L14" i="54"/>
  <c r="L14" i="55" s="1"/>
  <c r="C2" i="41" s="1"/>
  <c r="AH18" i="54"/>
  <c r="AH18" i="55" s="1"/>
  <c r="Y6" i="41" s="1"/>
  <c r="O17" i="54"/>
  <c r="O17" i="55" s="1"/>
  <c r="F5" i="41" s="1"/>
  <c r="AO15" i="54"/>
  <c r="AO15" i="55" s="1"/>
  <c r="AF3" i="41" s="1"/>
  <c r="V14" i="54"/>
  <c r="V14" i="55" s="1"/>
  <c r="M2" i="41" s="1"/>
  <c r="AS18" i="54"/>
  <c r="AS18" i="55" s="1"/>
  <c r="AJ6" i="41" s="1"/>
  <c r="Z17" i="54"/>
  <c r="Z17" i="55" s="1"/>
  <c r="Q5" i="41" s="1"/>
  <c r="G16" i="54"/>
  <c r="G16" i="55" s="1"/>
  <c r="AI19" i="54"/>
  <c r="AI19" i="55" s="1"/>
  <c r="Z7" i="41" s="1"/>
  <c r="AP16" i="54"/>
  <c r="AP16" i="55" s="1"/>
  <c r="AG4" i="41" s="1"/>
  <c r="P14" i="54"/>
  <c r="P14" i="55" s="1"/>
  <c r="G2" i="41" s="1"/>
  <c r="AB17" i="54"/>
  <c r="AB17" i="55" s="1"/>
  <c r="S5" i="41" s="1"/>
  <c r="AJ14" i="54"/>
  <c r="AJ14" i="55" s="1"/>
  <c r="AA2" i="41" s="1"/>
  <c r="T18" i="54"/>
  <c r="T18" i="55" s="1"/>
  <c r="K6" i="41" s="1"/>
  <c r="AA15" i="54"/>
  <c r="AA15" i="55" s="1"/>
  <c r="R3" i="41" s="1"/>
  <c r="N19" i="54"/>
  <c r="N19" i="55" s="1"/>
  <c r="E7" i="41" s="1"/>
  <c r="U16" i="54"/>
  <c r="U16" i="55" s="1"/>
  <c r="L4" i="41" s="1"/>
  <c r="AD18" i="54"/>
  <c r="AD18" i="55" s="1"/>
  <c r="U6" i="41" s="1"/>
  <c r="K17" i="54"/>
  <c r="K17" i="55" s="1"/>
  <c r="B5" i="41" s="1"/>
  <c r="AK15" i="54"/>
  <c r="AK15" i="55" s="1"/>
  <c r="AB3" i="41" s="1"/>
  <c r="R14" i="54"/>
  <c r="R14" i="55" s="1"/>
  <c r="I2" i="41" s="1"/>
  <c r="AO18" i="54"/>
  <c r="AO18" i="55" s="1"/>
  <c r="AF6" i="41" s="1"/>
  <c r="V17" i="54"/>
  <c r="V17" i="55" s="1"/>
  <c r="M5" i="41" s="1"/>
  <c r="C16" i="54"/>
  <c r="C16" i="55" s="1"/>
  <c r="AA19" i="54"/>
  <c r="AA19" i="55" s="1"/>
  <c r="R7" i="41" s="1"/>
  <c r="AH16" i="54"/>
  <c r="AH16" i="55" s="1"/>
  <c r="Y4" i="41" s="1"/>
  <c r="K14" i="54"/>
  <c r="K14" i="55" s="1"/>
  <c r="B2" i="41" s="1"/>
  <c r="T17" i="54"/>
  <c r="T17" i="55" s="1"/>
  <c r="K5" i="41" s="1"/>
  <c r="AE14" i="54"/>
  <c r="AE14" i="55" s="1"/>
  <c r="V2" i="41" s="1"/>
  <c r="L18" i="54"/>
  <c r="L18" i="55" s="1"/>
  <c r="C6" i="41" s="1"/>
  <c r="S15" i="54"/>
  <c r="S15" i="55" s="1"/>
  <c r="J3" i="41" s="1"/>
  <c r="F19" i="54"/>
  <c r="F19" i="55" s="1"/>
  <c r="M16" i="54"/>
  <c r="M16" i="55" s="1"/>
  <c r="D4" i="41" s="1"/>
  <c r="AO19" i="54"/>
  <c r="AO19" i="55" s="1"/>
  <c r="AF7" i="41" s="1"/>
  <c r="V18" i="54"/>
  <c r="V18" i="55" s="1"/>
  <c r="M6" i="41" s="1"/>
  <c r="C17" i="54"/>
  <c r="C17" i="55" s="1"/>
  <c r="AC15" i="54"/>
  <c r="AC15" i="55" s="1"/>
  <c r="T3" i="41" s="1"/>
  <c r="J14" i="54"/>
  <c r="J14" i="55" s="1"/>
  <c r="AG18" i="54"/>
  <c r="AG18" i="55" s="1"/>
  <c r="X6" i="41" s="1"/>
  <c r="N17" i="54"/>
  <c r="N17" i="55" s="1"/>
  <c r="E5" i="41" s="1"/>
  <c r="AN15" i="54"/>
  <c r="AN15" i="55" s="1"/>
  <c r="AE3" i="41" s="1"/>
  <c r="K19" i="54"/>
  <c r="K19" i="55" s="1"/>
  <c r="B7" i="41" s="1"/>
  <c r="R16" i="54"/>
  <c r="R16" i="55" s="1"/>
  <c r="I4" i="41" s="1"/>
  <c r="AP19" i="54"/>
  <c r="AP19" i="55" s="1"/>
  <c r="AG7" i="41" s="1"/>
  <c r="D17" i="54"/>
  <c r="D17" i="55" s="1"/>
  <c r="T14" i="54"/>
  <c r="T14" i="55" s="1"/>
  <c r="K2" i="41" s="1"/>
  <c r="AO17" i="54"/>
  <c r="AO17" i="55" s="1"/>
  <c r="AF5" i="41" s="1"/>
  <c r="C15" i="54"/>
  <c r="C15" i="55" s="1"/>
  <c r="AI18" i="54"/>
  <c r="AI18" i="55" s="1"/>
  <c r="Z6" i="41" s="1"/>
  <c r="AP15" i="54"/>
  <c r="AP15" i="55" s="1"/>
  <c r="AG3" i="41" s="1"/>
  <c r="AS19" i="54"/>
  <c r="AS19" i="55" s="1"/>
  <c r="AJ7" i="41" s="1"/>
  <c r="Z18" i="54"/>
  <c r="Z18" i="55" s="1"/>
  <c r="Q6" i="41" s="1"/>
  <c r="G17" i="54"/>
  <c r="G17" i="55" s="1"/>
  <c r="AG15" i="54"/>
  <c r="AG15" i="55" s="1"/>
  <c r="X3" i="41" s="1"/>
  <c r="N14" i="54"/>
  <c r="N14" i="55" s="1"/>
  <c r="E2" i="41" s="1"/>
  <c r="AK18" i="54"/>
  <c r="AK18" i="55" s="1"/>
  <c r="AB6" i="41" s="1"/>
  <c r="R17" i="54"/>
  <c r="R17" i="55" s="1"/>
  <c r="I5" i="41" s="1"/>
  <c r="AR15" i="54"/>
  <c r="AR15" i="55" s="1"/>
  <c r="AI3" i="41" s="1"/>
  <c r="S19" i="54"/>
  <c r="S19" i="55" s="1"/>
  <c r="J7" i="41" s="1"/>
  <c r="Z16" i="54"/>
  <c r="Z16" i="55" s="1"/>
  <c r="Q4" i="41" s="1"/>
  <c r="E14" i="54"/>
  <c r="E14" i="55" s="1"/>
  <c r="L17" i="54"/>
  <c r="L17" i="55" s="1"/>
  <c r="C5" i="41" s="1"/>
  <c r="Y14" i="54"/>
  <c r="Y14" i="55" s="1"/>
  <c r="P2" i="41" s="1"/>
  <c r="D18" i="54"/>
  <c r="D18" i="55" s="1"/>
  <c r="K15" i="54"/>
  <c r="K15" i="55" s="1"/>
  <c r="B3" i="41" s="1"/>
  <c r="AQ18" i="54"/>
  <c r="AQ18" i="55" s="1"/>
  <c r="AH6" i="41" s="1"/>
  <c r="E16" i="54"/>
  <c r="E16" i="55" s="1"/>
  <c r="AK19" i="54"/>
  <c r="AK19" i="55" s="1"/>
  <c r="AB7" i="41" s="1"/>
  <c r="R18" i="54"/>
  <c r="R18" i="55" s="1"/>
  <c r="I6" i="41" s="1"/>
  <c r="AR16" i="54"/>
  <c r="AR16" i="55" s="1"/>
  <c r="AI4" i="41" s="1"/>
  <c r="Y15" i="54"/>
  <c r="Y15" i="55" s="1"/>
  <c r="P3" i="41" s="1"/>
  <c r="F14" i="54"/>
  <c r="F14" i="55" s="1"/>
  <c r="AC18" i="54"/>
  <c r="AC18" i="55" s="1"/>
  <c r="T6" i="41" s="1"/>
  <c r="J17" i="54"/>
  <c r="J17" i="55" s="1"/>
  <c r="AJ15" i="54"/>
  <c r="AJ15" i="55" s="1"/>
  <c r="AA3" i="41" s="1"/>
  <c r="C19" i="54"/>
  <c r="C19" i="55" s="1"/>
  <c r="J16" i="54"/>
  <c r="J16" i="55" s="1"/>
  <c r="AH19" i="54"/>
  <c r="AH19" i="55" s="1"/>
  <c r="Y7" i="41" s="1"/>
  <c r="AO16" i="54"/>
  <c r="AO16" i="55" s="1"/>
  <c r="AF4" i="41" s="1"/>
  <c r="O14" i="54"/>
  <c r="O14" i="55" s="1"/>
  <c r="F2" i="41" s="1"/>
  <c r="AG17" i="54"/>
  <c r="AG17" i="55" s="1"/>
  <c r="X5" i="41" s="1"/>
  <c r="AN14" i="54"/>
  <c r="AN14" i="55" s="1"/>
  <c r="AE2" i="41" s="1"/>
  <c r="AA18" i="54"/>
  <c r="AA18" i="55" s="1"/>
  <c r="R6" i="41" s="1"/>
  <c r="AH15" i="54"/>
  <c r="AH15" i="55" s="1"/>
  <c r="Y3" i="41" s="1"/>
  <c r="AG19" i="54"/>
  <c r="AG19" i="55" s="1"/>
  <c r="X7" i="41" s="1"/>
  <c r="N18" i="54"/>
  <c r="N18" i="55" s="1"/>
  <c r="E6" i="41" s="1"/>
  <c r="AN16" i="54"/>
  <c r="AN16" i="55" s="1"/>
  <c r="AE4" i="41" s="1"/>
  <c r="U15" i="54"/>
  <c r="U15" i="55" s="1"/>
  <c r="L3" i="41" s="1"/>
  <c r="AR19" i="54"/>
  <c r="AR19" i="55" s="1"/>
  <c r="AI7" i="41" s="1"/>
  <c r="Y18" i="54"/>
  <c r="Y18" i="55" s="1"/>
  <c r="P6" i="41" s="1"/>
  <c r="F17" i="54"/>
  <c r="F17" i="55" s="1"/>
  <c r="AF15" i="54"/>
  <c r="AF15" i="55" s="1"/>
  <c r="W3" i="41" s="1"/>
  <c r="AN18" i="54"/>
  <c r="AN18" i="55" s="1"/>
  <c r="AE6" i="41" s="1"/>
  <c r="AU15" i="54"/>
  <c r="AU15" i="55" s="1"/>
  <c r="AL3" i="41" s="1"/>
  <c r="Z19" i="54"/>
  <c r="Z19" i="55" s="1"/>
  <c r="Q7" i="41" s="1"/>
  <c r="AG16" i="54"/>
  <c r="AG16" i="55" s="1"/>
  <c r="X4" i="41" s="1"/>
  <c r="I14" i="54"/>
  <c r="I14" i="55" s="1"/>
  <c r="Y17" i="54"/>
  <c r="Y17" i="55" s="1"/>
  <c r="P5" i="41" s="1"/>
  <c r="AI14" i="54"/>
  <c r="AI14" i="55" s="1"/>
  <c r="Z2" i="41" s="1"/>
  <c r="S18" i="54"/>
  <c r="S18" i="55" s="1"/>
  <c r="J6" i="41" s="1"/>
  <c r="Z15" i="54"/>
  <c r="Z15" i="55" s="1"/>
  <c r="Q3" i="41" s="1"/>
  <c r="Y19" i="54"/>
  <c r="Y19" i="55" s="1"/>
  <c r="P7" i="41" s="1"/>
  <c r="F18" i="54"/>
  <c r="F18" i="55" s="1"/>
  <c r="AF16" i="54"/>
  <c r="AF16" i="55" s="1"/>
  <c r="W4" i="41" s="1"/>
  <c r="M15" i="54"/>
  <c r="M15" i="55" s="1"/>
  <c r="D3" i="41" s="1"/>
  <c r="AJ19" i="54"/>
  <c r="AJ19" i="55" s="1"/>
  <c r="AA7" i="41" s="1"/>
  <c r="Q18" i="54"/>
  <c r="Q18" i="55" s="1"/>
  <c r="H6" i="41" s="1"/>
  <c r="AQ16" i="54"/>
  <c r="AQ16" i="55" s="1"/>
  <c r="AH4" i="41" s="1"/>
  <c r="X15" i="54"/>
  <c r="X15" i="55" s="1"/>
  <c r="O3" i="41" s="1"/>
  <c r="X18" i="54"/>
  <c r="X18" i="55" s="1"/>
  <c r="O6" i="41" s="1"/>
  <c r="AE15" i="54"/>
  <c r="AE15" i="55" s="1"/>
  <c r="V3" i="41" s="1"/>
  <c r="J19" i="54"/>
  <c r="J19" i="55" s="1"/>
  <c r="Q16" i="54"/>
  <c r="Q16" i="55" s="1"/>
  <c r="H4" i="41" s="1"/>
  <c r="AU19" i="54"/>
  <c r="AU19" i="55" s="1"/>
  <c r="AL7" i="41" s="1"/>
  <c r="I17" i="54"/>
  <c r="I17" i="55" s="1"/>
  <c r="X14" i="54"/>
  <c r="X14" i="55" s="1"/>
  <c r="O2" i="41" s="1"/>
  <c r="C18" i="54"/>
  <c r="C18" i="55" s="1"/>
  <c r="J15" i="54"/>
  <c r="J15" i="55" s="1"/>
  <c r="AC19" i="54"/>
  <c r="AC19" i="55" s="1"/>
  <c r="T7" i="41" s="1"/>
  <c r="J18" i="54"/>
  <c r="J18" i="55" s="1"/>
  <c r="AJ16" i="54"/>
  <c r="AJ16" i="55" s="1"/>
  <c r="AA4" i="41" s="1"/>
  <c r="Q15" i="54"/>
  <c r="Q15" i="55" s="1"/>
  <c r="H3" i="41" s="1"/>
  <c r="AN19" i="54"/>
  <c r="AN19" i="55" s="1"/>
  <c r="AE7" i="41" s="1"/>
  <c r="U18" i="54"/>
  <c r="U18" i="55" s="1"/>
  <c r="L6" i="41" s="1"/>
  <c r="AU16" i="54"/>
  <c r="AU16" i="55" s="1"/>
  <c r="AL4" i="41" s="1"/>
  <c r="AB15" i="54"/>
  <c r="AB15" i="55" s="1"/>
  <c r="S3" i="41" s="1"/>
  <c r="AF18" i="54"/>
  <c r="AF18" i="55" s="1"/>
  <c r="W6" i="41" s="1"/>
  <c r="AM15" i="54"/>
  <c r="AM15" i="55" s="1"/>
  <c r="AD3" i="41" s="1"/>
  <c r="R19" i="54"/>
  <c r="R19" i="55" s="1"/>
  <c r="I7" i="41" s="1"/>
  <c r="Y16" i="54"/>
  <c r="Y16" i="55" s="1"/>
  <c r="P4" i="41" s="1"/>
  <c r="D14" i="54"/>
  <c r="D14" i="55" s="1"/>
  <c r="Q17" i="54"/>
  <c r="Q17" i="55" s="1"/>
  <c r="H5" i="41" s="1"/>
  <c r="AC14" i="54"/>
  <c r="AC14" i="55" s="1"/>
  <c r="T2" i="41" s="1"/>
  <c r="K18" i="54"/>
  <c r="K18" i="55" s="1"/>
  <c r="B6" i="41" s="1"/>
  <c r="R15" i="54"/>
  <c r="R15" i="55" s="1"/>
  <c r="I3" i="41" s="1"/>
  <c r="U19" i="54"/>
  <c r="U19" i="55" s="1"/>
  <c r="L7" i="41" s="1"/>
  <c r="AU17" i="54"/>
  <c r="AU17" i="55" s="1"/>
  <c r="AL5" i="41" s="1"/>
  <c r="AB16" i="54"/>
  <c r="AB16" i="55" s="1"/>
  <c r="S4" i="41" s="1"/>
  <c r="I15" i="54"/>
  <c r="I15" i="55" s="1"/>
  <c r="AF19" i="54"/>
  <c r="AF19" i="55" s="1"/>
  <c r="W7" i="41" s="1"/>
  <c r="M18" i="54"/>
  <c r="M18" i="55" s="1"/>
  <c r="D6" i="41" s="1"/>
  <c r="AM16" i="54"/>
  <c r="AM16" i="55" s="1"/>
  <c r="AD4" i="41" s="1"/>
  <c r="T15" i="54"/>
  <c r="T15" i="55" s="1"/>
  <c r="K3" i="41" s="1"/>
  <c r="P18" i="54"/>
  <c r="P18" i="55" s="1"/>
  <c r="G6" i="41" s="1"/>
  <c r="W15" i="54"/>
  <c r="W15" i="55" s="1"/>
  <c r="N3" i="41" s="1"/>
  <c r="AU18" i="54"/>
  <c r="AU18" i="55" s="1"/>
  <c r="AL6" i="41" s="1"/>
  <c r="I16" i="54"/>
  <c r="I16" i="55" s="1"/>
  <c r="AM19" i="54"/>
  <c r="AM19" i="55" s="1"/>
  <c r="AD7" i="41" s="1"/>
  <c r="AT16" i="54"/>
  <c r="AT16" i="55" s="1"/>
  <c r="AK4" i="41" s="1"/>
  <c r="S14" i="54"/>
  <c r="S14" i="55" s="1"/>
  <c r="J2" i="41" s="1"/>
  <c r="AN17" i="54"/>
  <c r="AN17" i="55" s="1"/>
  <c r="AE5" i="41" s="1"/>
  <c r="AU14" i="54"/>
  <c r="AU14" i="55" s="1"/>
  <c r="AL2" i="41" s="1"/>
  <c r="D52" i="23"/>
  <c r="N52" i="23"/>
  <c r="AR52" i="23"/>
  <c r="H51" i="10"/>
  <c r="C53" i="23"/>
  <c r="E53" i="23" s="1"/>
  <c r="AH53" i="23"/>
  <c r="C32" i="7" s="1" a="1"/>
  <c r="S37" i="7" s="1"/>
  <c r="D7" i="54" l="1"/>
  <c r="Q8" i="54"/>
  <c r="AJ9" i="54"/>
  <c r="Z8" i="54"/>
  <c r="N6" i="54"/>
  <c r="I5" i="54"/>
  <c r="T9" i="54"/>
  <c r="T9" i="55" s="1"/>
  <c r="K6" i="42" s="1"/>
  <c r="AH5" i="54"/>
  <c r="S8" i="54"/>
  <c r="E7" i="54"/>
  <c r="AO7" i="54"/>
  <c r="AC5" i="54"/>
  <c r="AC5" i="55" s="1"/>
  <c r="U6" i="54"/>
  <c r="U51" i="54" s="1"/>
  <c r="AD9" i="54"/>
  <c r="AD54" i="54" s="1"/>
  <c r="AD6" i="54"/>
  <c r="AD51" i="54" s="1"/>
  <c r="AP9" i="54"/>
  <c r="T5" i="54"/>
  <c r="M8" i="54"/>
  <c r="Y9" i="54"/>
  <c r="L7" i="54"/>
  <c r="L7" i="55" s="1"/>
  <c r="C4" i="42" s="1"/>
  <c r="AU5" i="54"/>
  <c r="AU50" i="54" s="1"/>
  <c r="Q6" i="54"/>
  <c r="Q51" i="54" s="1"/>
  <c r="R6" i="54"/>
  <c r="R6" i="55" s="1"/>
  <c r="I3" i="42" s="1"/>
  <c r="Z6" i="54"/>
  <c r="X9" i="54"/>
  <c r="P5" i="54"/>
  <c r="AS5" i="54"/>
  <c r="F8" i="54"/>
  <c r="C8" i="54"/>
  <c r="C53" i="54" s="1"/>
  <c r="G9" i="54"/>
  <c r="M6" i="54"/>
  <c r="M51" i="54" s="1"/>
  <c r="S9" i="54"/>
  <c r="V6" i="54"/>
  <c r="AJ7" i="54"/>
  <c r="L5" i="54"/>
  <c r="AQ5" i="54"/>
  <c r="O6" i="54"/>
  <c r="O51" i="54" s="1"/>
  <c r="AG8" i="54"/>
  <c r="AR5" i="54"/>
  <c r="AR50" i="54" s="1"/>
  <c r="AS8" i="54"/>
  <c r="AD8" i="54"/>
  <c r="AO9" i="54"/>
  <c r="X6" i="54"/>
  <c r="Q10" i="54"/>
  <c r="Q10" i="55" s="1"/>
  <c r="H7" i="42" s="1"/>
  <c r="AK6" i="54"/>
  <c r="AK51" i="54" s="1"/>
  <c r="AO5" i="54"/>
  <c r="AO5" i="55" s="1"/>
  <c r="AO8" i="54"/>
  <c r="AO8" i="55" s="1"/>
  <c r="AF5" i="42" s="1"/>
  <c r="E6" i="54"/>
  <c r="E6" i="55" s="1"/>
  <c r="H9" i="54"/>
  <c r="H9" i="55" s="1"/>
  <c r="AL10" i="54"/>
  <c r="AL55" i="54" s="1"/>
  <c r="Y7" i="54"/>
  <c r="Y7" i="55" s="1"/>
  <c r="P4" i="42" s="1"/>
  <c r="AN10" i="54"/>
  <c r="AN10" i="55" s="1"/>
  <c r="AE7" i="42" s="1"/>
  <c r="AG7" i="54"/>
  <c r="AG7" i="55" s="1"/>
  <c r="X4" i="42" s="1"/>
  <c r="I9" i="54"/>
  <c r="I9" i="55" s="1"/>
  <c r="AK5" i="54"/>
  <c r="AK5" i="55" s="1"/>
  <c r="AH9" i="54"/>
  <c r="AH9" i="55" s="1"/>
  <c r="Y6" i="42" s="1"/>
  <c r="AT5" i="54"/>
  <c r="AQ10" i="54"/>
  <c r="AQ10" i="55" s="1"/>
  <c r="AH7" i="42" s="1"/>
  <c r="AG10" i="54"/>
  <c r="AG55" i="54" s="1"/>
  <c r="C7" i="54"/>
  <c r="C7" i="55" s="1"/>
  <c r="U9" i="54"/>
  <c r="U9" i="55" s="1"/>
  <c r="L6" i="42" s="1"/>
  <c r="AL9" i="54"/>
  <c r="AL9" i="55" s="1"/>
  <c r="AC6" i="42" s="1"/>
  <c r="E9" i="54"/>
  <c r="E9" i="55" s="1"/>
  <c r="AG5" i="54"/>
  <c r="AG5" i="55" s="1"/>
  <c r="AE8" i="54"/>
  <c r="AE8" i="55" s="1"/>
  <c r="V5" i="42" s="1"/>
  <c r="AP5" i="54"/>
  <c r="AP50" i="54" s="1"/>
  <c r="H7" i="54"/>
  <c r="H52" i="54" s="1"/>
  <c r="AA10" i="54"/>
  <c r="AA10" i="55" s="1"/>
  <c r="R7" i="42" s="1"/>
  <c r="M7" i="54"/>
  <c r="M52" i="54" s="1"/>
  <c r="P10" i="54"/>
  <c r="P10" i="55" s="1"/>
  <c r="G7" i="42" s="1"/>
  <c r="AS7" i="54"/>
  <c r="AS52" i="54" s="1"/>
  <c r="S5" i="54"/>
  <c r="S50" i="54" s="1"/>
  <c r="L8" i="54"/>
  <c r="L53" i="54" s="1"/>
  <c r="AB5" i="54"/>
  <c r="AB50" i="54" s="1"/>
  <c r="AM6" i="54"/>
  <c r="AM6" i="55" s="1"/>
  <c r="AD3" i="42" s="1"/>
  <c r="I10" i="54"/>
  <c r="I10" i="55" s="1"/>
  <c r="H5" i="54"/>
  <c r="AF8" i="54"/>
  <c r="AF53" i="54" s="1"/>
  <c r="R50" i="54"/>
  <c r="R5" i="55"/>
  <c r="U53" i="54"/>
  <c r="U8" i="55"/>
  <c r="L5" i="42" s="1"/>
  <c r="AB10" i="55"/>
  <c r="S7" i="42" s="1"/>
  <c r="AB55" i="54"/>
  <c r="K7" i="55"/>
  <c r="B4" i="42" s="1"/>
  <c r="K52" i="54"/>
  <c r="V5" i="55"/>
  <c r="V50" i="54"/>
  <c r="T7" i="55"/>
  <c r="K4" i="42" s="1"/>
  <c r="T52" i="54"/>
  <c r="H54" i="54"/>
  <c r="X5" i="55"/>
  <c r="X50" i="54"/>
  <c r="J6" i="55"/>
  <c r="J51" i="54"/>
  <c r="Y52" i="54"/>
  <c r="AC7" i="55"/>
  <c r="T4" i="42" s="1"/>
  <c r="AC52" i="54"/>
  <c r="AB9" i="55"/>
  <c r="S6" i="42" s="1"/>
  <c r="AB54" i="54"/>
  <c r="L6" i="55"/>
  <c r="C3" i="42" s="1"/>
  <c r="L51" i="54"/>
  <c r="X10" i="55"/>
  <c r="O7" i="42" s="1"/>
  <c r="X55" i="54"/>
  <c r="G7" i="55"/>
  <c r="G52" i="54"/>
  <c r="Z10" i="55"/>
  <c r="Q7" i="42" s="1"/>
  <c r="Z55" i="54"/>
  <c r="AT5" i="55"/>
  <c r="AT50" i="54"/>
  <c r="P7" i="55"/>
  <c r="G4" i="42" s="1"/>
  <c r="P52" i="54"/>
  <c r="AQ8" i="55"/>
  <c r="AH5" i="42" s="1"/>
  <c r="AQ53" i="54"/>
  <c r="F6" i="55"/>
  <c r="F51" i="54"/>
  <c r="AP7" i="55"/>
  <c r="AG4" i="42" s="1"/>
  <c r="AP52" i="54"/>
  <c r="AU7" i="55"/>
  <c r="AL4" i="42" s="1"/>
  <c r="AU52" i="54"/>
  <c r="AI7" i="55"/>
  <c r="Z4" i="42" s="1"/>
  <c r="AI52" i="54"/>
  <c r="T10" i="55"/>
  <c r="K7" i="42" s="1"/>
  <c r="T55" i="54"/>
  <c r="AO6" i="55"/>
  <c r="AF3" i="42" s="1"/>
  <c r="AO51" i="54"/>
  <c r="AE53" i="54"/>
  <c r="U10" i="55"/>
  <c r="L7" i="42" s="1"/>
  <c r="U55" i="54"/>
  <c r="J10" i="55"/>
  <c r="J55" i="54"/>
  <c r="AK8" i="55"/>
  <c r="AB5" i="42" s="1"/>
  <c r="AK53" i="54"/>
  <c r="Y10" i="55"/>
  <c r="P7" i="42" s="1"/>
  <c r="Y55" i="54"/>
  <c r="F5" i="55"/>
  <c r="F50" i="54"/>
  <c r="N7" i="55"/>
  <c r="E4" i="42" s="1"/>
  <c r="N52" i="54"/>
  <c r="AI9" i="55"/>
  <c r="Z6" i="42" s="1"/>
  <c r="AI54" i="54"/>
  <c r="AS9" i="55"/>
  <c r="AJ6" i="42" s="1"/>
  <c r="AS54" i="54"/>
  <c r="AU9" i="55"/>
  <c r="AL6" i="42" s="1"/>
  <c r="AU54" i="54"/>
  <c r="AT10" i="55"/>
  <c r="AK7" i="42" s="1"/>
  <c r="AT55" i="54"/>
  <c r="S8" i="55"/>
  <c r="J5" i="42" s="1"/>
  <c r="S53" i="54"/>
  <c r="E7" i="55"/>
  <c r="E52" i="54"/>
  <c r="AG6" i="55"/>
  <c r="X3" i="42" s="1"/>
  <c r="AG51" i="54"/>
  <c r="AM5" i="55"/>
  <c r="AM50" i="54"/>
  <c r="K10" i="55"/>
  <c r="B7" i="42" s="1"/>
  <c r="K55" i="54"/>
  <c r="P8" i="55"/>
  <c r="G5" i="42" s="1"/>
  <c r="P53" i="54"/>
  <c r="Z7" i="55"/>
  <c r="Q4" i="42" s="1"/>
  <c r="Z52" i="54"/>
  <c r="P9" i="55"/>
  <c r="G6" i="42" s="1"/>
  <c r="P54" i="54"/>
  <c r="AA7" i="55"/>
  <c r="R4" i="42" s="1"/>
  <c r="AA52" i="54"/>
  <c r="AH10" i="55"/>
  <c r="Y7" i="42" s="1"/>
  <c r="AH55" i="54"/>
  <c r="L10" i="55"/>
  <c r="C7" i="42" s="1"/>
  <c r="L55" i="54"/>
  <c r="Y5" i="55"/>
  <c r="Y50" i="54"/>
  <c r="AN6" i="55"/>
  <c r="AE3" i="42" s="1"/>
  <c r="AN51" i="54"/>
  <c r="T8" i="55"/>
  <c r="K5" i="42" s="1"/>
  <c r="T53" i="54"/>
  <c r="J8" i="55"/>
  <c r="J53" i="54"/>
  <c r="E10" i="55"/>
  <c r="E55" i="54"/>
  <c r="AD5" i="55"/>
  <c r="AD50" i="54"/>
  <c r="AS6" i="55"/>
  <c r="AJ3" i="42" s="1"/>
  <c r="AS51" i="54"/>
  <c r="C9" i="55"/>
  <c r="C54" i="54"/>
  <c r="H6" i="55"/>
  <c r="H51" i="54"/>
  <c r="N5" i="55"/>
  <c r="N50" i="54"/>
  <c r="W9" i="55"/>
  <c r="N6" i="42" s="1"/>
  <c r="W54" i="54"/>
  <c r="AB7" i="55"/>
  <c r="S4" i="42" s="1"/>
  <c r="AB52" i="54"/>
  <c r="G6" i="55"/>
  <c r="G51" i="54"/>
  <c r="V7" i="55"/>
  <c r="M4" i="42" s="1"/>
  <c r="V52" i="54"/>
  <c r="K9" i="55"/>
  <c r="B6" i="42" s="1"/>
  <c r="K54" i="54"/>
  <c r="AT9" i="55"/>
  <c r="AK6" i="42" s="1"/>
  <c r="AT54" i="54"/>
  <c r="AL8" i="55"/>
  <c r="AC5" i="42" s="1"/>
  <c r="AL53" i="54"/>
  <c r="H10" i="55"/>
  <c r="H55" i="54"/>
  <c r="U5" i="55"/>
  <c r="U50" i="54"/>
  <c r="AJ6" i="55"/>
  <c r="AA3" i="42" s="1"/>
  <c r="AJ51" i="54"/>
  <c r="C10" i="55"/>
  <c r="C55" i="54"/>
  <c r="I8" i="55"/>
  <c r="I53" i="54"/>
  <c r="AR9" i="55"/>
  <c r="AI6" i="42" s="1"/>
  <c r="AR54" i="54"/>
  <c r="Z5" i="55"/>
  <c r="Z50" i="54"/>
  <c r="O8" i="55"/>
  <c r="F5" i="42" s="1"/>
  <c r="O53" i="54"/>
  <c r="AF9" i="55"/>
  <c r="W6" i="42" s="1"/>
  <c r="AF54" i="54"/>
  <c r="AJ10" i="55"/>
  <c r="AA7" i="42" s="1"/>
  <c r="AJ55" i="54"/>
  <c r="Q9" i="55"/>
  <c r="H6" i="42" s="1"/>
  <c r="Q54" i="54"/>
  <c r="AQ7" i="55"/>
  <c r="AH4" i="42" s="1"/>
  <c r="AQ52" i="54"/>
  <c r="AC10" i="55"/>
  <c r="T7" i="42" s="1"/>
  <c r="AC55" i="54"/>
  <c r="C6" i="55"/>
  <c r="C51" i="54"/>
  <c r="R7" i="55"/>
  <c r="I4" i="42" s="1"/>
  <c r="R52" i="54"/>
  <c r="L9" i="55"/>
  <c r="C6" i="42" s="1"/>
  <c r="L54" i="54"/>
  <c r="AO10" i="55"/>
  <c r="AF7" i="42" s="1"/>
  <c r="AO55" i="54"/>
  <c r="AH8" i="55"/>
  <c r="Y5" i="42" s="1"/>
  <c r="AH53" i="54"/>
  <c r="D10" i="55"/>
  <c r="D55" i="54"/>
  <c r="Q5" i="55"/>
  <c r="Q50" i="54"/>
  <c r="AA8" i="55"/>
  <c r="R5" i="42" s="1"/>
  <c r="AA53" i="54"/>
  <c r="AB6" i="55"/>
  <c r="S3" i="42" s="1"/>
  <c r="AB51" i="54"/>
  <c r="D8" i="55"/>
  <c r="D53" i="54"/>
  <c r="AM9" i="55"/>
  <c r="AD6" i="42" s="1"/>
  <c r="AM54" i="54"/>
  <c r="AA6" i="55"/>
  <c r="R3" i="42" s="1"/>
  <c r="AA51" i="54"/>
  <c r="AH6" i="55"/>
  <c r="Y3" i="42" s="1"/>
  <c r="AH51" i="54"/>
  <c r="J9" i="55"/>
  <c r="J54" i="54"/>
  <c r="Q7" i="55"/>
  <c r="H4" i="42" s="1"/>
  <c r="Q52" i="54"/>
  <c r="O9" i="55"/>
  <c r="F6" i="42" s="1"/>
  <c r="O54" i="54"/>
  <c r="O7" i="55"/>
  <c r="F4" i="42" s="1"/>
  <c r="O52" i="54"/>
  <c r="AU8" i="55"/>
  <c r="AL5" i="42" s="1"/>
  <c r="AU53" i="54"/>
  <c r="AK10" i="55"/>
  <c r="AB7" i="42" s="1"/>
  <c r="AK55" i="54"/>
  <c r="M5" i="55"/>
  <c r="M50" i="54"/>
  <c r="X7" i="55"/>
  <c r="O4" i="42" s="1"/>
  <c r="X52" i="54"/>
  <c r="N54" i="54"/>
  <c r="N9" i="55"/>
  <c r="E6" i="42" s="1"/>
  <c r="C50" i="54"/>
  <c r="C5" i="55"/>
  <c r="Z8" i="55"/>
  <c r="Q5" i="42" s="1"/>
  <c r="Z53" i="54"/>
  <c r="N51" i="54"/>
  <c r="N6" i="55"/>
  <c r="E3" i="42" s="1"/>
  <c r="AD7" i="55"/>
  <c r="U4" i="42" s="1"/>
  <c r="AD52" i="54"/>
  <c r="T54" i="54"/>
  <c r="Q53" i="54"/>
  <c r="Q8" i="55"/>
  <c r="H5" i="42" s="1"/>
  <c r="AR8" i="55"/>
  <c r="AI5" i="42" s="1"/>
  <c r="AR53" i="54"/>
  <c r="K8" i="55"/>
  <c r="B5" i="42" s="1"/>
  <c r="K53" i="54"/>
  <c r="I7" i="55"/>
  <c r="I52" i="54"/>
  <c r="AI5" i="55"/>
  <c r="AI50" i="54"/>
  <c r="F10" i="55"/>
  <c r="F55" i="54"/>
  <c r="AT6" i="55"/>
  <c r="AK3" i="42" s="1"/>
  <c r="AT51" i="54"/>
  <c r="AB8" i="55"/>
  <c r="S5" i="42" s="1"/>
  <c r="AB53" i="54"/>
  <c r="R10" i="55"/>
  <c r="I7" i="42" s="1"/>
  <c r="R55" i="54"/>
  <c r="AN5" i="55"/>
  <c r="AN50" i="54"/>
  <c r="J7" i="55"/>
  <c r="J52" i="54"/>
  <c r="AN8" i="55"/>
  <c r="AE5" i="42" s="1"/>
  <c r="AN53" i="54"/>
  <c r="AD10" i="55"/>
  <c r="U7" i="42" s="1"/>
  <c r="AD55" i="54"/>
  <c r="AM8" i="55"/>
  <c r="AD5" i="42" s="1"/>
  <c r="AM53" i="54"/>
  <c r="V8" i="55"/>
  <c r="M5" i="42" s="1"/>
  <c r="V53" i="54"/>
  <c r="AK9" i="55"/>
  <c r="AB6" i="42" s="1"/>
  <c r="AK54" i="54"/>
  <c r="E5" i="55"/>
  <c r="E50" i="54"/>
  <c r="T6" i="55"/>
  <c r="K3" i="42" s="1"/>
  <c r="T51" i="54"/>
  <c r="AL7" i="55"/>
  <c r="AC4" i="42" s="1"/>
  <c r="AL52" i="54"/>
  <c r="W7" i="55"/>
  <c r="N4" i="42" s="1"/>
  <c r="W52" i="54"/>
  <c r="AC6" i="55"/>
  <c r="T3" i="42" s="1"/>
  <c r="AC51" i="54"/>
  <c r="J5" i="55"/>
  <c r="J50" i="54"/>
  <c r="R9" i="55"/>
  <c r="I6" i="42" s="1"/>
  <c r="R54" i="54"/>
  <c r="AA5" i="55"/>
  <c r="AA50" i="54"/>
  <c r="AP6" i="55"/>
  <c r="AG3" i="42" s="1"/>
  <c r="AP51" i="54"/>
  <c r="W8" i="55"/>
  <c r="N5" i="42" s="1"/>
  <c r="W53" i="54"/>
  <c r="O5" i="55"/>
  <c r="O50" i="54"/>
  <c r="AJ5" i="55"/>
  <c r="AJ50" i="54"/>
  <c r="F7" i="55"/>
  <c r="F52" i="54"/>
  <c r="AI8" i="55"/>
  <c r="Z5" i="42" s="1"/>
  <c r="AI53" i="54"/>
  <c r="E8" i="55"/>
  <c r="E53" i="54"/>
  <c r="S10" i="55"/>
  <c r="J7" i="42" s="1"/>
  <c r="S55" i="54"/>
  <c r="R8" i="55"/>
  <c r="I5" i="42" s="1"/>
  <c r="R53" i="54"/>
  <c r="AG9" i="55"/>
  <c r="X6" i="42" s="1"/>
  <c r="AG54" i="54"/>
  <c r="AF10" i="55"/>
  <c r="W7" i="42" s="1"/>
  <c r="AF55" i="54"/>
  <c r="P6" i="55"/>
  <c r="G3" i="42" s="1"/>
  <c r="P51" i="54"/>
  <c r="AE5" i="55"/>
  <c r="AE50" i="54"/>
  <c r="D6" i="55"/>
  <c r="D51" i="54"/>
  <c r="M9" i="55"/>
  <c r="D6" i="42" s="1"/>
  <c r="M54" i="54"/>
  <c r="K6" i="55"/>
  <c r="B3" i="42" s="1"/>
  <c r="K51" i="54"/>
  <c r="AN9" i="55"/>
  <c r="AE6" i="42" s="1"/>
  <c r="AN54" i="54"/>
  <c r="W5" i="55"/>
  <c r="W50" i="54"/>
  <c r="AL6" i="55"/>
  <c r="AC3" i="42" s="1"/>
  <c r="AL51" i="54"/>
  <c r="AE10" i="55"/>
  <c r="V7" i="42" s="1"/>
  <c r="AE55" i="54"/>
  <c r="G10" i="55"/>
  <c r="G55" i="54"/>
  <c r="AF5" i="55"/>
  <c r="AF50" i="54"/>
  <c r="AU6" i="55"/>
  <c r="AL3" i="42" s="1"/>
  <c r="AU51" i="54"/>
  <c r="S7" i="55"/>
  <c r="J4" i="42" s="1"/>
  <c r="S52" i="54"/>
  <c r="X8" i="55"/>
  <c r="O5" i="42" s="1"/>
  <c r="X53" i="54"/>
  <c r="N10" i="55"/>
  <c r="E7" i="42" s="1"/>
  <c r="N55" i="54"/>
  <c r="N8" i="55"/>
  <c r="E5" i="42" s="1"/>
  <c r="N53" i="54"/>
  <c r="AF7" i="55"/>
  <c r="W4" i="42" s="1"/>
  <c r="AF52" i="54"/>
  <c r="AR10" i="55"/>
  <c r="AI7" i="42" s="1"/>
  <c r="AR55" i="54"/>
  <c r="D5" i="55"/>
  <c r="D50" i="54"/>
  <c r="AS10" i="55"/>
  <c r="AJ7" i="42" s="1"/>
  <c r="AS55" i="54"/>
  <c r="D9" i="55"/>
  <c r="D54" i="54"/>
  <c r="V9" i="55"/>
  <c r="M6" i="42" s="1"/>
  <c r="V54" i="54"/>
  <c r="AE7" i="55"/>
  <c r="V4" i="42" s="1"/>
  <c r="AE52" i="54"/>
  <c r="AT8" i="55"/>
  <c r="AK5" i="42" s="1"/>
  <c r="AT53" i="54"/>
  <c r="AM7" i="55"/>
  <c r="AD4" i="42" s="1"/>
  <c r="AM52" i="54"/>
  <c r="U7" i="55"/>
  <c r="L4" i="42" s="1"/>
  <c r="U52" i="54"/>
  <c r="AR6" i="55"/>
  <c r="AI3" i="42" s="1"/>
  <c r="AR51" i="54"/>
  <c r="Y8" i="55"/>
  <c r="P5" i="42" s="1"/>
  <c r="Y53" i="54"/>
  <c r="O10" i="55"/>
  <c r="F7" i="42" s="1"/>
  <c r="O55" i="54"/>
  <c r="AC9" i="55"/>
  <c r="T6" i="42" s="1"/>
  <c r="AC54" i="54"/>
  <c r="AH5" i="55"/>
  <c r="AH50" i="54"/>
  <c r="D7" i="55"/>
  <c r="D52" i="54"/>
  <c r="AJ9" i="55"/>
  <c r="AA6" i="42" s="1"/>
  <c r="AJ54" i="54"/>
  <c r="AK7" i="55"/>
  <c r="AB4" i="42" s="1"/>
  <c r="AK52" i="54"/>
  <c r="AO7" i="55"/>
  <c r="AF4" i="42" s="1"/>
  <c r="AO52" i="54"/>
  <c r="I6" i="55"/>
  <c r="I51" i="54"/>
  <c r="AC50" i="54"/>
  <c r="AC8" i="55"/>
  <c r="T5" i="42" s="1"/>
  <c r="AC53" i="54"/>
  <c r="U6" i="55"/>
  <c r="L3" i="42" s="1"/>
  <c r="AN7" i="55"/>
  <c r="AE4" i="42" s="1"/>
  <c r="AN52" i="54"/>
  <c r="AD9" i="55"/>
  <c r="U6" i="42" s="1"/>
  <c r="AQ6" i="55"/>
  <c r="AH3" i="42" s="1"/>
  <c r="AQ51" i="54"/>
  <c r="AD6" i="55"/>
  <c r="U3" i="42" s="1"/>
  <c r="G8" i="55"/>
  <c r="G53" i="54"/>
  <c r="AP9" i="55"/>
  <c r="AG6" i="42" s="1"/>
  <c r="AP54" i="54"/>
  <c r="M10" i="55"/>
  <c r="D7" i="42" s="1"/>
  <c r="M55" i="54"/>
  <c r="T5" i="55"/>
  <c r="T50" i="54"/>
  <c r="AI6" i="55"/>
  <c r="Z3" i="42" s="1"/>
  <c r="AI51" i="54"/>
  <c r="M8" i="55"/>
  <c r="D5" i="42" s="1"/>
  <c r="M53" i="54"/>
  <c r="Y6" i="55"/>
  <c r="P3" i="42" s="1"/>
  <c r="Y51" i="54"/>
  <c r="Y9" i="55"/>
  <c r="P6" i="42" s="1"/>
  <c r="Y54" i="54"/>
  <c r="V10" i="55"/>
  <c r="M7" i="42" s="1"/>
  <c r="V55" i="54"/>
  <c r="L52" i="54"/>
  <c r="AF6" i="55"/>
  <c r="W3" i="42" s="1"/>
  <c r="AF51" i="54"/>
  <c r="AU5" i="55"/>
  <c r="AU10" i="55"/>
  <c r="AL7" i="42" s="1"/>
  <c r="AU55" i="54"/>
  <c r="Q6" i="55"/>
  <c r="H3" i="42" s="1"/>
  <c r="AH7" i="55"/>
  <c r="Y4" i="42" s="1"/>
  <c r="AH52" i="54"/>
  <c r="R51" i="54"/>
  <c r="K5" i="55"/>
  <c r="K50" i="54"/>
  <c r="Z6" i="55"/>
  <c r="Q3" i="42" s="1"/>
  <c r="Z51" i="54"/>
  <c r="AT7" i="55"/>
  <c r="AK4" i="42" s="1"/>
  <c r="AT52" i="54"/>
  <c r="X9" i="55"/>
  <c r="O6" i="42" s="1"/>
  <c r="X54" i="54"/>
  <c r="AE9" i="55"/>
  <c r="V6" i="42" s="1"/>
  <c r="AE54" i="54"/>
  <c r="P5" i="55"/>
  <c r="P50" i="54"/>
  <c r="AE6" i="55"/>
  <c r="V3" i="42" s="1"/>
  <c r="AE51" i="54"/>
  <c r="AS5" i="55"/>
  <c r="AS50" i="54"/>
  <c r="W6" i="55"/>
  <c r="N3" i="42" s="1"/>
  <c r="W51" i="54"/>
  <c r="F8" i="55"/>
  <c r="F53" i="54"/>
  <c r="AQ9" i="55"/>
  <c r="AH6" i="42" s="1"/>
  <c r="AQ54" i="54"/>
  <c r="C8" i="55"/>
  <c r="H8" i="55"/>
  <c r="H53" i="54"/>
  <c r="G9" i="55"/>
  <c r="G54" i="54"/>
  <c r="AP10" i="55"/>
  <c r="AG7" i="42" s="1"/>
  <c r="AP55" i="54"/>
  <c r="M6" i="55"/>
  <c r="D3" i="42" s="1"/>
  <c r="AL5" i="55"/>
  <c r="AL50" i="54"/>
  <c r="S9" i="55"/>
  <c r="J6" i="42" s="1"/>
  <c r="S54" i="54"/>
  <c r="G5" i="55"/>
  <c r="G50" i="54"/>
  <c r="V6" i="55"/>
  <c r="M3" i="42" s="1"/>
  <c r="V51" i="54"/>
  <c r="AJ8" i="55"/>
  <c r="AA5" i="42" s="1"/>
  <c r="AJ53" i="54"/>
  <c r="AJ7" i="55"/>
  <c r="AA4" i="42" s="1"/>
  <c r="AJ52" i="54"/>
  <c r="Z9" i="55"/>
  <c r="Q6" i="42" s="1"/>
  <c r="Z54" i="54"/>
  <c r="L5" i="55"/>
  <c r="L50" i="54"/>
  <c r="F9" i="55"/>
  <c r="F54" i="54"/>
  <c r="AQ5" i="55"/>
  <c r="AQ50" i="54"/>
  <c r="S6" i="55"/>
  <c r="J3" i="42" s="1"/>
  <c r="S51" i="54"/>
  <c r="O6" i="55"/>
  <c r="F3" i="42" s="1"/>
  <c r="AM10" i="55"/>
  <c r="AD7" i="42" s="1"/>
  <c r="AM55" i="54"/>
  <c r="AG53" i="54"/>
  <c r="AG8" i="55"/>
  <c r="X5" i="42" s="1"/>
  <c r="W10" i="55"/>
  <c r="N7" i="42" s="1"/>
  <c r="W55" i="54"/>
  <c r="AR5" i="55"/>
  <c r="AP53" i="54"/>
  <c r="AP8" i="55"/>
  <c r="AG5" i="42" s="1"/>
  <c r="AS53" i="54"/>
  <c r="AS8" i="55"/>
  <c r="AJ5" i="42" s="1"/>
  <c r="AI10" i="55"/>
  <c r="Z7" i="42" s="1"/>
  <c r="AI55" i="54"/>
  <c r="AD8" i="55"/>
  <c r="U5" i="42" s="1"/>
  <c r="AD53" i="54"/>
  <c r="AA9" i="55"/>
  <c r="R6" i="42" s="1"/>
  <c r="AA54" i="54"/>
  <c r="AO54" i="54"/>
  <c r="AO9" i="55"/>
  <c r="AF6" i="42" s="1"/>
  <c r="I5" i="55"/>
  <c r="I50" i="54"/>
  <c r="X51" i="54"/>
  <c r="X6" i="55"/>
  <c r="O3" i="42" s="1"/>
  <c r="AR7" i="55"/>
  <c r="AI4" i="42" s="1"/>
  <c r="AR52" i="54"/>
  <c r="H5" i="55"/>
  <c r="H50" i="54"/>
  <c r="D53" i="23"/>
  <c r="C5" i="7" s="1" a="1"/>
  <c r="AD6" i="7" s="1"/>
  <c r="AD6" i="25" s="1"/>
  <c r="U3" i="32" s="1"/>
  <c r="N53" i="23"/>
  <c r="C14" i="7" s="1" a="1"/>
  <c r="AR53" i="23"/>
  <c r="C41" i="7" s="1" a="1"/>
  <c r="AH46" i="7" s="1"/>
  <c r="AH46" i="25" s="1"/>
  <c r="Y7" i="39" s="1"/>
  <c r="AH32" i="7"/>
  <c r="AC35" i="7"/>
  <c r="AG35" i="7"/>
  <c r="AG35" i="25" s="1"/>
  <c r="X5" i="38" s="1"/>
  <c r="E33" i="7"/>
  <c r="E33" i="25" s="1"/>
  <c r="AM32" i="7"/>
  <c r="X32" i="7"/>
  <c r="M34" i="7"/>
  <c r="F32" i="7"/>
  <c r="F32" i="25" s="1"/>
  <c r="L34" i="7"/>
  <c r="L34" i="25" s="1"/>
  <c r="C4" i="38" s="1"/>
  <c r="AH34" i="7"/>
  <c r="AK36" i="7"/>
  <c r="N35" i="7"/>
  <c r="E34" i="7"/>
  <c r="AJ32" i="7"/>
  <c r="AJ32" i="25" s="1"/>
  <c r="AA2" i="38" s="1"/>
  <c r="AF34" i="7"/>
  <c r="AP32" i="7"/>
  <c r="AG32" i="7"/>
  <c r="J34" i="7"/>
  <c r="J34" i="25" s="1"/>
  <c r="T36" i="7"/>
  <c r="AO32" i="7"/>
  <c r="AO32" i="25" s="1"/>
  <c r="AF2" i="38" s="1"/>
  <c r="Q36" i="7"/>
  <c r="AE33" i="7"/>
  <c r="U33" i="7"/>
  <c r="AJ34" i="7"/>
  <c r="AI33" i="7"/>
  <c r="J35" i="7"/>
  <c r="J35" i="25" s="1"/>
  <c r="P34" i="7"/>
  <c r="R36" i="7"/>
  <c r="R36" i="25" s="1"/>
  <c r="I6" i="38" s="1"/>
  <c r="AR35" i="7"/>
  <c r="N37" i="7"/>
  <c r="AF35" i="7"/>
  <c r="AF35" i="25" s="1"/>
  <c r="W5" i="38" s="1"/>
  <c r="AN36" i="7"/>
  <c r="AN36" i="25" s="1"/>
  <c r="AE6" i="38" s="1"/>
  <c r="AI34" i="7"/>
  <c r="AS37" i="7"/>
  <c r="AM33" i="7"/>
  <c r="Y32" i="7"/>
  <c r="Q32" i="7"/>
  <c r="X34" i="7"/>
  <c r="K37" i="7"/>
  <c r="P36" i="7"/>
  <c r="AU36" i="7"/>
  <c r="AU36" i="25" s="1"/>
  <c r="AL6" i="38" s="1"/>
  <c r="X35" i="7"/>
  <c r="X35" i="25" s="1"/>
  <c r="O5" i="38" s="1"/>
  <c r="AT32" i="7"/>
  <c r="AT32" i="25" s="1"/>
  <c r="AK2" i="38" s="1"/>
  <c r="AP35" i="7"/>
  <c r="AP35" i="25" s="1"/>
  <c r="AG5" i="38" s="1"/>
  <c r="K33" i="7"/>
  <c r="AS34" i="7"/>
  <c r="L37" i="7"/>
  <c r="L37" i="25" s="1"/>
  <c r="C7" i="38" s="1"/>
  <c r="AJ37" i="7"/>
  <c r="AU35" i="7"/>
  <c r="U32" i="7"/>
  <c r="AB34" i="7"/>
  <c r="AB34" i="25" s="1"/>
  <c r="S4" i="38" s="1"/>
  <c r="V33" i="7"/>
  <c r="N33" i="7"/>
  <c r="N33" i="25" s="1"/>
  <c r="E3" i="38" s="1"/>
  <c r="L33" i="7"/>
  <c r="L33" i="25" s="1"/>
  <c r="C3" i="38" s="1"/>
  <c r="G36" i="7"/>
  <c r="G36" i="25" s="1"/>
  <c r="F34" i="7"/>
  <c r="AL34" i="7"/>
  <c r="H35" i="7"/>
  <c r="AK35" i="7"/>
  <c r="AK35" i="25" s="1"/>
  <c r="AB5" i="38" s="1"/>
  <c r="C33" i="7"/>
  <c r="C33" i="25" s="1"/>
  <c r="D37" i="7"/>
  <c r="AT35" i="7"/>
  <c r="AI32" i="7"/>
  <c r="P32" i="7"/>
  <c r="P32" i="25" s="1"/>
  <c r="G2" i="38" s="1"/>
  <c r="AJ35" i="7"/>
  <c r="AT37" i="7"/>
  <c r="AT37" i="25" s="1"/>
  <c r="AK7" i="38" s="1"/>
  <c r="AM37" i="7"/>
  <c r="Z37" i="7"/>
  <c r="E37" i="7"/>
  <c r="AD37" i="7"/>
  <c r="AP33" i="7"/>
  <c r="AG34" i="7"/>
  <c r="C37" i="7"/>
  <c r="W37" i="7"/>
  <c r="W37" i="25" s="1"/>
  <c r="N7" i="38" s="1"/>
  <c r="C32" i="7"/>
  <c r="I36" i="7"/>
  <c r="AQ34" i="7"/>
  <c r="AQ34" i="25" s="1"/>
  <c r="AH4" i="38" s="1"/>
  <c r="Y35" i="7"/>
  <c r="F35" i="7"/>
  <c r="D36" i="7"/>
  <c r="U37" i="7"/>
  <c r="U37" i="25" s="1"/>
  <c r="L7" i="38" s="1"/>
  <c r="M35" i="7"/>
  <c r="AO36" i="7"/>
  <c r="AI35" i="7"/>
  <c r="T32" i="7"/>
  <c r="AG36" i="7"/>
  <c r="AE32" i="7"/>
  <c r="L32" i="7"/>
  <c r="L32" i="25" s="1"/>
  <c r="C2" i="38" s="1"/>
  <c r="G33" i="7"/>
  <c r="G33" i="25" s="1"/>
  <c r="M33" i="7"/>
  <c r="M33" i="25" s="1"/>
  <c r="D3" i="38" s="1"/>
  <c r="E32" i="7"/>
  <c r="E32" i="25" s="1"/>
  <c r="K36" i="7"/>
  <c r="X33" i="7"/>
  <c r="X33" i="25" s="1"/>
  <c r="O3" i="38" s="1"/>
  <c r="AE35" i="7"/>
  <c r="AE35" i="25" s="1"/>
  <c r="V5" i="38" s="1"/>
  <c r="I33" i="7"/>
  <c r="V34" i="7"/>
  <c r="V34" i="25" s="1"/>
  <c r="M4" i="38" s="1"/>
  <c r="V37" i="7"/>
  <c r="AC37" i="7"/>
  <c r="AC37" i="25" s="1"/>
  <c r="T7" i="38" s="1"/>
  <c r="AP36" i="7"/>
  <c r="AP36" i="25" s="1"/>
  <c r="AG6" i="38" s="1"/>
  <c r="R37" i="7"/>
  <c r="R37" i="25" s="1"/>
  <c r="I7" i="38" s="1"/>
  <c r="G32" i="7"/>
  <c r="AB35" i="7"/>
  <c r="S32" i="7"/>
  <c r="R35" i="7"/>
  <c r="AB36" i="7"/>
  <c r="AT33" i="7"/>
  <c r="X37" i="7"/>
  <c r="W34" i="7"/>
  <c r="H32" i="7"/>
  <c r="H32" i="25" s="1"/>
  <c r="S35" i="7"/>
  <c r="AU32" i="7"/>
  <c r="AU32" i="25" s="1"/>
  <c r="AL2" i="38" s="1"/>
  <c r="V32" i="7"/>
  <c r="AR36" i="7"/>
  <c r="T35" i="7"/>
  <c r="AE34" i="7"/>
  <c r="AE34" i="25" s="1"/>
  <c r="V4" i="38" s="1"/>
  <c r="AS33" i="7"/>
  <c r="AH35" i="7"/>
  <c r="U34" i="7"/>
  <c r="AQ33" i="7"/>
  <c r="Y33" i="7"/>
  <c r="AC33" i="7"/>
  <c r="AC33" i="25" s="1"/>
  <c r="T3" i="38" s="1"/>
  <c r="AK34" i="7"/>
  <c r="AS32" i="7"/>
  <c r="AR34" i="7"/>
  <c r="AR34" i="25" s="1"/>
  <c r="AI4" i="38" s="1"/>
  <c r="D32" i="7"/>
  <c r="G34" i="7"/>
  <c r="E36" i="7"/>
  <c r="E36" i="25" s="1"/>
  <c r="AN33" i="7"/>
  <c r="AN33" i="25" s="1"/>
  <c r="AE3" i="38" s="1"/>
  <c r="F36" i="7"/>
  <c r="F36" i="25" s="1"/>
  <c r="H33" i="7"/>
  <c r="AA36" i="7"/>
  <c r="AD32" i="7"/>
  <c r="W33" i="7"/>
  <c r="R33" i="7"/>
  <c r="AF32" i="7"/>
  <c r="AR32" i="7"/>
  <c r="AR32" i="25" s="1"/>
  <c r="AI2" i="38" s="1"/>
  <c r="I34" i="7"/>
  <c r="Z33" i="7"/>
  <c r="V36" i="7"/>
  <c r="K32" i="7"/>
  <c r="W32" i="7"/>
  <c r="AA34" i="7"/>
  <c r="AK32" i="7"/>
  <c r="L35" i="7"/>
  <c r="AC36" i="7"/>
  <c r="AC36" i="25" s="1"/>
  <c r="T6" i="38" s="1"/>
  <c r="Q37" i="7"/>
  <c r="AD36" i="7"/>
  <c r="K35" i="7"/>
  <c r="C35" i="7"/>
  <c r="AK37" i="7"/>
  <c r="Q35" i="7"/>
  <c r="Q35" i="25" s="1"/>
  <c r="H5" i="38" s="1"/>
  <c r="AJ33" i="7"/>
  <c r="AJ33" i="25" s="1"/>
  <c r="AA3" i="38" s="1"/>
  <c r="S33" i="7"/>
  <c r="Y34" i="7"/>
  <c r="U36" i="7"/>
  <c r="U36" i="25" s="1"/>
  <c r="L6" i="38" s="1"/>
  <c r="S34" i="7"/>
  <c r="AS36" i="7"/>
  <c r="C34" i="7"/>
  <c r="AH33" i="7"/>
  <c r="AN35" i="7"/>
  <c r="T33" i="7"/>
  <c r="AF37" i="7"/>
  <c r="R34" i="7"/>
  <c r="R34" i="25" s="1"/>
  <c r="I4" i="38" s="1"/>
  <c r="AD34" i="7"/>
  <c r="I32" i="7"/>
  <c r="T34" i="7"/>
  <c r="AL33" i="7"/>
  <c r="AL33" i="25" s="1"/>
  <c r="AC3" i="38" s="1"/>
  <c r="AL32" i="7"/>
  <c r="I37" i="7"/>
  <c r="AL36" i="7"/>
  <c r="AR37" i="7"/>
  <c r="AR37" i="25" s="1"/>
  <c r="AI7" i="38" s="1"/>
  <c r="AQ35" i="7"/>
  <c r="AI37" i="7"/>
  <c r="AI37" i="25" s="1"/>
  <c r="Z7" i="38" s="1"/>
  <c r="AL37" i="7"/>
  <c r="X36" i="7"/>
  <c r="X36" i="25" s="1"/>
  <c r="O6" i="38" s="1"/>
  <c r="U35" i="7"/>
  <c r="AB33" i="7"/>
  <c r="AS35" i="7"/>
  <c r="AM36" i="7"/>
  <c r="G37" i="7"/>
  <c r="G37" i="25" s="1"/>
  <c r="AP37" i="7"/>
  <c r="W36" i="7"/>
  <c r="W36" i="25" s="1"/>
  <c r="N6" i="38" s="1"/>
  <c r="Z36" i="7"/>
  <c r="H34" i="7"/>
  <c r="AB32" i="7"/>
  <c r="AE36" i="7"/>
  <c r="O37" i="7"/>
  <c r="M37" i="7"/>
  <c r="AO35" i="7"/>
  <c r="AB37" i="7"/>
  <c r="N34" i="7"/>
  <c r="N34" i="25" s="1"/>
  <c r="E4" i="38" s="1"/>
  <c r="AN37" i="7"/>
  <c r="AN37" i="25" s="1"/>
  <c r="AE7" i="38" s="1"/>
  <c r="Q34" i="7"/>
  <c r="I35" i="7"/>
  <c r="AP34" i="7"/>
  <c r="Q33" i="7"/>
  <c r="Q33" i="25" s="1"/>
  <c r="H3" i="38" s="1"/>
  <c r="AE37" i="7"/>
  <c r="AQ37" i="7"/>
  <c r="J36" i="7"/>
  <c r="H36" i="7"/>
  <c r="H36" i="25" s="1"/>
  <c r="D34" i="7"/>
  <c r="Z32" i="7"/>
  <c r="P37" i="7"/>
  <c r="P37" i="25" s="1"/>
  <c r="G7" i="38" s="1"/>
  <c r="M32" i="7"/>
  <c r="AD35" i="7"/>
  <c r="AF36" i="7"/>
  <c r="AG33" i="7"/>
  <c r="AT34" i="7"/>
  <c r="O35" i="7"/>
  <c r="AN32" i="7"/>
  <c r="AI36" i="7"/>
  <c r="V35" i="7"/>
  <c r="L36" i="7"/>
  <c r="L36" i="25" s="1"/>
  <c r="C6" i="38" s="1"/>
  <c r="P33" i="7"/>
  <c r="P33" i="25" s="1"/>
  <c r="G3" i="38" s="1"/>
  <c r="T37" i="7"/>
  <c r="AJ36" i="7"/>
  <c r="AR33" i="7"/>
  <c r="S36" i="7"/>
  <c r="AQ36" i="7"/>
  <c r="N36" i="7"/>
  <c r="AN34" i="7"/>
  <c r="Y36" i="7"/>
  <c r="Y36" i="25" s="1"/>
  <c r="P6" i="38" s="1"/>
  <c r="AA32" i="7"/>
  <c r="AA33" i="7"/>
  <c r="AA37" i="7"/>
  <c r="J33" i="7"/>
  <c r="F37" i="7"/>
  <c r="F37" i="25" s="1"/>
  <c r="O32" i="7"/>
  <c r="W35" i="7"/>
  <c r="AF33" i="7"/>
  <c r="AU37" i="7"/>
  <c r="E35" i="7"/>
  <c r="J32" i="7"/>
  <c r="J32" i="25" s="1"/>
  <c r="R32" i="7"/>
  <c r="AC32" i="7"/>
  <c r="C36" i="7"/>
  <c r="AO37" i="7"/>
  <c r="AO37" i="25" s="1"/>
  <c r="AF7" i="38" s="1"/>
  <c r="O33" i="7"/>
  <c r="AM34" i="7"/>
  <c r="AD33" i="7"/>
  <c r="AD33" i="25" s="1"/>
  <c r="U3" i="38" s="1"/>
  <c r="O36" i="7"/>
  <c r="H37" i="7"/>
  <c r="H37" i="25" s="1"/>
  <c r="Z34" i="7"/>
  <c r="AK33" i="7"/>
  <c r="AU34" i="7"/>
  <c r="P35" i="7"/>
  <c r="AQ32" i="7"/>
  <c r="AH36" i="7"/>
  <c r="D35" i="7"/>
  <c r="J37" i="7"/>
  <c r="AG37" i="7"/>
  <c r="AO34" i="7"/>
  <c r="AH37" i="7"/>
  <c r="AH37" i="25" s="1"/>
  <c r="Y7" i="38" s="1"/>
  <c r="AC34" i="7"/>
  <c r="Y37" i="7"/>
  <c r="N32" i="7"/>
  <c r="AO33" i="7"/>
  <c r="AO33" i="25" s="1"/>
  <c r="AF3" i="38" s="1"/>
  <c r="Z35" i="7"/>
  <c r="O34" i="7"/>
  <c r="O34" i="25" s="1"/>
  <c r="F4" i="38" s="1"/>
  <c r="M36" i="7"/>
  <c r="K34" i="7"/>
  <c r="K34" i="25" s="1"/>
  <c r="B4" i="38" s="1"/>
  <c r="G35" i="7"/>
  <c r="D33" i="7"/>
  <c r="AM35" i="7"/>
  <c r="AU33" i="7"/>
  <c r="AT36" i="7"/>
  <c r="AL35" i="7"/>
  <c r="AL35" i="25" s="1"/>
  <c r="AC5" i="38" s="1"/>
  <c r="F33" i="7"/>
  <c r="AA35" i="7"/>
  <c r="S37" i="25"/>
  <c r="J7" i="38" s="1"/>
  <c r="AF8" i="55" l="1"/>
  <c r="W5" i="42" s="1"/>
  <c r="S5" i="55"/>
  <c r="AG50" i="54"/>
  <c r="L8" i="55"/>
  <c r="C5" i="42" s="1"/>
  <c r="M7" i="55"/>
  <c r="D4" i="42" s="1"/>
  <c r="AB5" i="55"/>
  <c r="AP5" i="55"/>
  <c r="AQ55" i="54"/>
  <c r="C52" i="54"/>
  <c r="AS7" i="55"/>
  <c r="AJ4" i="42" s="1"/>
  <c r="AN55" i="54"/>
  <c r="H7" i="55"/>
  <c r="AL10" i="55"/>
  <c r="AC7" i="42" s="1"/>
  <c r="AM51" i="54"/>
  <c r="AG10" i="55"/>
  <c r="X7" i="42" s="1"/>
  <c r="U54" i="54"/>
  <c r="AL54" i="54"/>
  <c r="AK50" i="54"/>
  <c r="P55" i="54"/>
  <c r="E54" i="54"/>
  <c r="AG52" i="54"/>
  <c r="AA55" i="54"/>
  <c r="I55" i="54"/>
  <c r="AK6" i="55"/>
  <c r="AB3" i="42" s="1"/>
  <c r="E51" i="54"/>
  <c r="AO50" i="54"/>
  <c r="I54" i="54"/>
  <c r="AH54" i="54"/>
  <c r="AO53" i="54"/>
  <c r="Q55" i="54"/>
  <c r="AA45" i="7"/>
  <c r="P42" i="7"/>
  <c r="AF44" i="7"/>
  <c r="Z46" i="7"/>
  <c r="AA42" i="7"/>
  <c r="AS44" i="7"/>
  <c r="T42" i="7"/>
  <c r="F46" i="7"/>
  <c r="F46" i="25" s="1"/>
  <c r="Z43" i="7"/>
  <c r="AN42" i="7"/>
  <c r="C45" i="7"/>
  <c r="N46" i="7"/>
  <c r="S41" i="7"/>
  <c r="AO43" i="7"/>
  <c r="AA46" i="7"/>
  <c r="AO42" i="7"/>
  <c r="V44" i="7"/>
  <c r="V41" i="7"/>
  <c r="W45" i="7"/>
  <c r="AM45" i="7"/>
  <c r="I45" i="7"/>
  <c r="H46" i="7"/>
  <c r="AK44" i="7"/>
  <c r="AK44" i="25" s="1"/>
  <c r="AB5" i="39" s="1"/>
  <c r="N45" i="7"/>
  <c r="O44" i="7"/>
  <c r="N41" i="7"/>
  <c r="Y45" i="7"/>
  <c r="T46" i="7"/>
  <c r="AP45" i="7"/>
  <c r="K42" i="7"/>
  <c r="K42" i="25" s="1"/>
  <c r="B3" i="39" s="1"/>
  <c r="M43" i="7"/>
  <c r="K43" i="7"/>
  <c r="W43" i="7"/>
  <c r="Q43" i="7"/>
  <c r="AB43" i="7"/>
  <c r="AF42" i="7"/>
  <c r="X46" i="7"/>
  <c r="X46" i="25" s="1"/>
  <c r="O7" i="39" s="1"/>
  <c r="AG45" i="7"/>
  <c r="AB42" i="7"/>
  <c r="AB42" i="25" s="1"/>
  <c r="S3" i="39" s="1"/>
  <c r="AQ43" i="7"/>
  <c r="AK45" i="7"/>
  <c r="M42" i="7"/>
  <c r="L43" i="7"/>
  <c r="L43" i="25" s="1"/>
  <c r="C4" i="39" s="1"/>
  <c r="Z44" i="7"/>
  <c r="AQ45" i="7"/>
  <c r="P44" i="7"/>
  <c r="AJ41" i="7"/>
  <c r="AJ41" i="25" s="1"/>
  <c r="AA2" i="39" s="1"/>
  <c r="AI42" i="7"/>
  <c r="AI42" i="25" s="1"/>
  <c r="Z3" i="39" s="1"/>
  <c r="AA43" i="7"/>
  <c r="AC41" i="7"/>
  <c r="C43" i="7"/>
  <c r="Z42" i="7"/>
  <c r="J44" i="7"/>
  <c r="AG46" i="7"/>
  <c r="L45" i="7"/>
  <c r="AN43" i="7"/>
  <c r="J48" i="55"/>
  <c r="J49" i="55" s="1"/>
  <c r="J51" i="55" s="1"/>
  <c r="I48" i="55"/>
  <c r="I49" i="55" s="1"/>
  <c r="I51" i="55" s="1"/>
  <c r="G48" i="55"/>
  <c r="G49" i="55" s="1"/>
  <c r="G51" i="55" s="1"/>
  <c r="AA2" i="42"/>
  <c r="AJ48" i="55"/>
  <c r="AJ49" i="55" s="1"/>
  <c r="AJ51" i="55" s="1"/>
  <c r="R2" i="42"/>
  <c r="AA48" i="55"/>
  <c r="AA49" i="55" s="1"/>
  <c r="AA51" i="55" s="1"/>
  <c r="H2" i="42"/>
  <c r="Q48" i="55"/>
  <c r="Q49" i="55" s="1"/>
  <c r="Q51" i="55" s="1"/>
  <c r="P2" i="42"/>
  <c r="Y48" i="55"/>
  <c r="Y49" i="55" s="1"/>
  <c r="Y51" i="55" s="1"/>
  <c r="AD2" i="42"/>
  <c r="AM48" i="55"/>
  <c r="AM49" i="55" s="1"/>
  <c r="AM51" i="55" s="1"/>
  <c r="M44" i="7"/>
  <c r="AR46" i="7"/>
  <c r="U46" i="7"/>
  <c r="G44" i="7"/>
  <c r="G44" i="25" s="1"/>
  <c r="W46" i="7"/>
  <c r="N44" i="7"/>
  <c r="AO41" i="7"/>
  <c r="W44" i="7"/>
  <c r="W44" i="25" s="1"/>
  <c r="N5" i="39" s="1"/>
  <c r="U44" i="7"/>
  <c r="AU44" i="7"/>
  <c r="AR43" i="7"/>
  <c r="S44" i="7"/>
  <c r="AI41" i="7"/>
  <c r="AO45" i="7"/>
  <c r="M46" i="7"/>
  <c r="M46" i="25" s="1"/>
  <c r="D7" i="39" s="1"/>
  <c r="G43" i="7"/>
  <c r="AE10" i="7"/>
  <c r="AK5" i="7"/>
  <c r="AK5" i="25" s="1"/>
  <c r="L8" i="7"/>
  <c r="L8" i="25" s="1"/>
  <c r="C5" i="32" s="1"/>
  <c r="AQ7" i="7"/>
  <c r="W7" i="7"/>
  <c r="AU6" i="7"/>
  <c r="D6" i="7"/>
  <c r="AM7" i="7"/>
  <c r="AG7" i="7"/>
  <c r="AG7" i="25" s="1"/>
  <c r="X4" i="32" s="1"/>
  <c r="AO6" i="7"/>
  <c r="AO6" i="25" s="1"/>
  <c r="AF3" i="32" s="1"/>
  <c r="W8" i="7"/>
  <c r="AM9" i="7"/>
  <c r="X6" i="7"/>
  <c r="AL6" i="7"/>
  <c r="AL6" i="25" s="1"/>
  <c r="AC3" i="32" s="1"/>
  <c r="AT8" i="7"/>
  <c r="AQ6" i="7"/>
  <c r="AQ6" i="25" s="1"/>
  <c r="AH3" i="32" s="1"/>
  <c r="AH9" i="7"/>
  <c r="AI10" i="7"/>
  <c r="AH8" i="7"/>
  <c r="AH8" i="25" s="1"/>
  <c r="Y5" i="32" s="1"/>
  <c r="M10" i="7"/>
  <c r="AQ5" i="7"/>
  <c r="AQ5" i="25" s="1"/>
  <c r="AD5" i="7"/>
  <c r="AD5" i="25" s="1"/>
  <c r="AF5" i="7"/>
  <c r="AF5" i="25" s="1"/>
  <c r="AU8" i="7"/>
  <c r="AU8" i="25" s="1"/>
  <c r="AL5" i="32" s="1"/>
  <c r="AI6" i="7"/>
  <c r="AP5" i="7"/>
  <c r="Y9" i="7"/>
  <c r="AI2" i="42"/>
  <c r="AR48" i="55"/>
  <c r="AR49" i="55" s="1"/>
  <c r="AR51" i="55" s="1"/>
  <c r="C2" i="42"/>
  <c r="AJ2" i="42"/>
  <c r="AL2" i="42"/>
  <c r="AU48" i="55"/>
  <c r="AU49" i="55" s="1"/>
  <c r="AU51" i="55" s="1"/>
  <c r="F2" i="42"/>
  <c r="O48" i="55"/>
  <c r="O49" i="55" s="1"/>
  <c r="O51" i="55" s="1"/>
  <c r="Q2" i="42"/>
  <c r="Z48" i="55"/>
  <c r="Z49" i="55" s="1"/>
  <c r="Z51" i="55" s="1"/>
  <c r="AK2" i="42"/>
  <c r="AT48" i="55"/>
  <c r="AT49" i="55" s="1"/>
  <c r="AT51" i="55" s="1"/>
  <c r="AB2" i="42"/>
  <c r="T9" i="7"/>
  <c r="T9" i="25" s="1"/>
  <c r="K6" i="32" s="1"/>
  <c r="L6" i="7"/>
  <c r="L6" i="25" s="1"/>
  <c r="C3" i="32" s="1"/>
  <c r="AC8" i="7"/>
  <c r="AC8" i="25" s="1"/>
  <c r="T5" i="32" s="1"/>
  <c r="AM8" i="7"/>
  <c r="AM8" i="25" s="1"/>
  <c r="AD5" i="32" s="1"/>
  <c r="K2" i="42"/>
  <c r="T48" i="55"/>
  <c r="T49" i="55" s="1"/>
  <c r="T51" i="55" s="1"/>
  <c r="AT44" i="7"/>
  <c r="AN46" i="7"/>
  <c r="AP42" i="7"/>
  <c r="J45" i="7"/>
  <c r="R41" i="7"/>
  <c r="R43" i="7"/>
  <c r="X42" i="7"/>
  <c r="AM46" i="7"/>
  <c r="AM46" i="25" s="1"/>
  <c r="AD7" i="39" s="1"/>
  <c r="AC45" i="7"/>
  <c r="AF41" i="7"/>
  <c r="AJ46" i="7"/>
  <c r="AE45" i="7"/>
  <c r="AJ42" i="7"/>
  <c r="AQ41" i="7"/>
  <c r="AQ41" i="25" s="1"/>
  <c r="AH2" i="39" s="1"/>
  <c r="AQ46" i="7"/>
  <c r="AQ46" i="25" s="1"/>
  <c r="AH7" i="39" s="1"/>
  <c r="AF43" i="7"/>
  <c r="P8" i="7"/>
  <c r="P8" i="25" s="1"/>
  <c r="G5" i="32" s="1"/>
  <c r="AA10" i="7"/>
  <c r="AA10" i="25" s="1"/>
  <c r="R7" i="32" s="1"/>
  <c r="AF9" i="7"/>
  <c r="X9" i="7"/>
  <c r="T10" i="7"/>
  <c r="H5" i="7"/>
  <c r="H5" i="25" s="1"/>
  <c r="N6" i="7"/>
  <c r="C9" i="7"/>
  <c r="AB8" i="7"/>
  <c r="AB8" i="25" s="1"/>
  <c r="S5" i="32" s="1"/>
  <c r="D7" i="7"/>
  <c r="AN7" i="7"/>
  <c r="AN7" i="25" s="1"/>
  <c r="AE4" i="32" s="1"/>
  <c r="AO9" i="7"/>
  <c r="AJ10" i="7"/>
  <c r="AJ10" i="25" s="1"/>
  <c r="AA7" i="32" s="1"/>
  <c r="AH7" i="7"/>
  <c r="V9" i="7"/>
  <c r="V9" i="25" s="1"/>
  <c r="M6" i="32" s="1"/>
  <c r="G8" i="7"/>
  <c r="O9" i="7"/>
  <c r="O9" i="25" s="1"/>
  <c r="F6" i="32" s="1"/>
  <c r="Y10" i="7"/>
  <c r="Y2" i="42"/>
  <c r="AH48" i="55"/>
  <c r="AH49" i="55" s="1"/>
  <c r="AH51" i="55" s="1"/>
  <c r="D48" i="55"/>
  <c r="D49" i="55" s="1"/>
  <c r="D51" i="55" s="1"/>
  <c r="W2" i="42"/>
  <c r="AF48" i="55"/>
  <c r="AF49" i="55" s="1"/>
  <c r="AF51" i="55" s="1"/>
  <c r="N2" i="42"/>
  <c r="W48" i="55"/>
  <c r="W49" i="55" s="1"/>
  <c r="W51" i="55" s="1"/>
  <c r="AE2" i="42"/>
  <c r="AN48" i="55"/>
  <c r="AN49" i="55" s="1"/>
  <c r="AN51" i="55" s="1"/>
  <c r="L2" i="42"/>
  <c r="U48" i="55"/>
  <c r="U49" i="55" s="1"/>
  <c r="U51" i="55" s="1"/>
  <c r="AM44" i="7"/>
  <c r="AC46" i="7"/>
  <c r="U45" i="7"/>
  <c r="AS42" i="7"/>
  <c r="K45" i="7"/>
  <c r="K45" i="25" s="1"/>
  <c r="B6" i="39" s="1"/>
  <c r="W42" i="7"/>
  <c r="AB46" i="7"/>
  <c r="AK41" i="7"/>
  <c r="AC42" i="7"/>
  <c r="AJ44" i="7"/>
  <c r="AE44" i="7"/>
  <c r="J41" i="7"/>
  <c r="V42" i="7"/>
  <c r="N43" i="7"/>
  <c r="H45" i="7"/>
  <c r="AK42" i="7"/>
  <c r="Q10" i="7"/>
  <c r="Q10" i="25" s="1"/>
  <c r="H7" i="32" s="1"/>
  <c r="F8" i="7"/>
  <c r="F8" i="25" s="1"/>
  <c r="J8" i="7"/>
  <c r="C8" i="7"/>
  <c r="C8" i="25" s="1"/>
  <c r="I9" i="7"/>
  <c r="AI5" i="7"/>
  <c r="V6" i="7"/>
  <c r="V6" i="25" s="1"/>
  <c r="M3" i="32" s="1"/>
  <c r="O7" i="7"/>
  <c r="O7" i="25" s="1"/>
  <c r="F4" i="32" s="1"/>
  <c r="AU10" i="7"/>
  <c r="AU10" i="25" s="1"/>
  <c r="AL7" i="32" s="1"/>
  <c r="AO8" i="7"/>
  <c r="Y6" i="7"/>
  <c r="AA9" i="7"/>
  <c r="AA9" i="25" s="1"/>
  <c r="R6" i="32" s="1"/>
  <c r="AR10" i="7"/>
  <c r="M5" i="7"/>
  <c r="M5" i="25" s="1"/>
  <c r="AP7" i="7"/>
  <c r="AP7" i="25" s="1"/>
  <c r="AG4" i="32" s="1"/>
  <c r="AA6" i="7"/>
  <c r="AA6" i="25" s="1"/>
  <c r="R3" i="32" s="1"/>
  <c r="M6" i="7"/>
  <c r="M6" i="25" s="1"/>
  <c r="D3" i="32" s="1"/>
  <c r="AA7" i="7"/>
  <c r="AA7" i="25" s="1"/>
  <c r="R4" i="32" s="1"/>
  <c r="L7" i="7"/>
  <c r="I8" i="7"/>
  <c r="I8" i="25" s="1"/>
  <c r="F9" i="7"/>
  <c r="F9" i="25" s="1"/>
  <c r="AH10" i="7"/>
  <c r="AA8" i="7"/>
  <c r="AF7" i="7"/>
  <c r="AF7" i="25" s="1"/>
  <c r="W4" i="32" s="1"/>
  <c r="D8" i="7"/>
  <c r="O6" i="7"/>
  <c r="AM10" i="7"/>
  <c r="AK8" i="7"/>
  <c r="AK8" i="25" s="1"/>
  <c r="AB5" i="32" s="1"/>
  <c r="AU5" i="7"/>
  <c r="AU5" i="25" s="1"/>
  <c r="AN5" i="7"/>
  <c r="AA5" i="7"/>
  <c r="AA5" i="25" s="1"/>
  <c r="K7" i="7"/>
  <c r="V5" i="7"/>
  <c r="V5" i="25" s="1"/>
  <c r="D5" i="7"/>
  <c r="AS9" i="7"/>
  <c r="J7" i="7"/>
  <c r="J7" i="25" s="1"/>
  <c r="C46" i="7"/>
  <c r="C46" i="25" s="1"/>
  <c r="G41" i="7"/>
  <c r="G41" i="25" s="1"/>
  <c r="Y44" i="7"/>
  <c r="AS41" i="7"/>
  <c r="AH42" i="7"/>
  <c r="AH42" i="25" s="1"/>
  <c r="Y3" i="39" s="1"/>
  <c r="Q42" i="7"/>
  <c r="P46" i="7"/>
  <c r="P46" i="25" s="1"/>
  <c r="G7" i="39" s="1"/>
  <c r="R42" i="7"/>
  <c r="U42" i="7"/>
  <c r="U42" i="25" s="1"/>
  <c r="L3" i="39" s="1"/>
  <c r="S42" i="7"/>
  <c r="T2" i="42"/>
  <c r="AC48" i="55"/>
  <c r="AC49" i="55" s="1"/>
  <c r="AC51" i="55" s="1"/>
  <c r="V2" i="42"/>
  <c r="AE48" i="55"/>
  <c r="AE49" i="55" s="1"/>
  <c r="AE51" i="55" s="1"/>
  <c r="E48" i="55"/>
  <c r="E49" i="55" s="1"/>
  <c r="E51" i="55" s="1"/>
  <c r="Z2" i="42"/>
  <c r="AI48" i="55"/>
  <c r="AI49" i="55" s="1"/>
  <c r="AI51" i="55" s="1"/>
  <c r="D2" i="42"/>
  <c r="M48" i="55"/>
  <c r="M49" i="55" s="1"/>
  <c r="M51" i="55" s="1"/>
  <c r="AG2" i="42"/>
  <c r="AP48" i="55"/>
  <c r="AP49" i="55" s="1"/>
  <c r="AP51" i="55" s="1"/>
  <c r="X2" i="42"/>
  <c r="AF2" i="42"/>
  <c r="AO48" i="55"/>
  <c r="AO49" i="55" s="1"/>
  <c r="AO51" i="55" s="1"/>
  <c r="U9" i="7"/>
  <c r="AG10" i="7"/>
  <c r="AG10" i="25" s="1"/>
  <c r="X7" i="32" s="1"/>
  <c r="AL5" i="7"/>
  <c r="AL5" i="25" s="1"/>
  <c r="P10" i="7"/>
  <c r="P10" i="25" s="1"/>
  <c r="G7" i="32" s="1"/>
  <c r="AB10" i="7"/>
  <c r="AB10" i="25" s="1"/>
  <c r="S7" i="32" s="1"/>
  <c r="E7" i="7"/>
  <c r="E7" i="25" s="1"/>
  <c r="J9" i="7"/>
  <c r="J9" i="25" s="1"/>
  <c r="AT6" i="7"/>
  <c r="AO10" i="7"/>
  <c r="AO10" i="25" s="1"/>
  <c r="AF7" i="32" s="1"/>
  <c r="AU7" i="7"/>
  <c r="AU7" i="25" s="1"/>
  <c r="AL4" i="32" s="1"/>
  <c r="O5" i="7"/>
  <c r="I6" i="7"/>
  <c r="Q7" i="7"/>
  <c r="Q7" i="25" s="1"/>
  <c r="H4" i="32" s="1"/>
  <c r="H6" i="7"/>
  <c r="AQ8" i="7"/>
  <c r="AQ8" i="25" s="1"/>
  <c r="AH5" i="32" s="1"/>
  <c r="H8" i="7"/>
  <c r="AF8" i="7"/>
  <c r="AH5" i="7"/>
  <c r="AH5" i="25" s="1"/>
  <c r="H48" i="55"/>
  <c r="H49" i="55" s="1"/>
  <c r="H51" i="55" s="1"/>
  <c r="AH2" i="42"/>
  <c r="AQ48" i="55"/>
  <c r="AQ49" i="55" s="1"/>
  <c r="AQ51" i="55" s="1"/>
  <c r="G2" i="42"/>
  <c r="P48" i="55"/>
  <c r="P49" i="55" s="1"/>
  <c r="P51" i="55" s="1"/>
  <c r="E2" i="42"/>
  <c r="N48" i="55"/>
  <c r="N49" i="55" s="1"/>
  <c r="N51" i="55" s="1"/>
  <c r="U2" i="42"/>
  <c r="AD48" i="55"/>
  <c r="AD49" i="55" s="1"/>
  <c r="AD51" i="55" s="1"/>
  <c r="S2" i="42"/>
  <c r="AB48" i="55"/>
  <c r="AB49" i="55" s="1"/>
  <c r="AB51" i="55" s="1"/>
  <c r="J2" i="42"/>
  <c r="S48" i="55"/>
  <c r="S49" i="55" s="1"/>
  <c r="S51" i="55" s="1"/>
  <c r="L41" i="7"/>
  <c r="C44" i="7"/>
  <c r="AB41" i="7"/>
  <c r="F42" i="7"/>
  <c r="AM42" i="7"/>
  <c r="AL45" i="7"/>
  <c r="AL45" i="25" s="1"/>
  <c r="AC6" i="39" s="1"/>
  <c r="AP43" i="7"/>
  <c r="AP43" i="25" s="1"/>
  <c r="AG4" i="39" s="1"/>
  <c r="AA44" i="7"/>
  <c r="I43" i="7"/>
  <c r="I43" i="25" s="1"/>
  <c r="F44" i="7"/>
  <c r="F44" i="25" s="1"/>
  <c r="AI44" i="7"/>
  <c r="K41" i="7"/>
  <c r="D42" i="7"/>
  <c r="J43" i="7"/>
  <c r="J43" i="25" s="1"/>
  <c r="H43" i="7"/>
  <c r="H43" i="25" s="1"/>
  <c r="AJ43" i="7"/>
  <c r="AS46" i="7"/>
  <c r="AS46" i="25" s="1"/>
  <c r="AJ7" i="39" s="1"/>
  <c r="K46" i="7"/>
  <c r="E10" i="7"/>
  <c r="E10" i="25" s="1"/>
  <c r="Z7" i="7"/>
  <c r="Z7" i="25" s="1"/>
  <c r="Q4" i="32" s="1"/>
  <c r="F6" i="7"/>
  <c r="F6" i="25" s="1"/>
  <c r="X10" i="7"/>
  <c r="X10" i="25" s="1"/>
  <c r="O7" i="32" s="1"/>
  <c r="T6" i="7"/>
  <c r="T6" i="25" s="1"/>
  <c r="K3" i="32" s="1"/>
  <c r="N8" i="7"/>
  <c r="N8" i="25" s="1"/>
  <c r="E5" i="32" s="1"/>
  <c r="C7" i="7"/>
  <c r="AR7" i="7"/>
  <c r="AR7" i="25" s="1"/>
  <c r="AI4" i="32" s="1"/>
  <c r="AD10" i="7"/>
  <c r="AP8" i="7"/>
  <c r="AP8" i="25" s="1"/>
  <c r="AG5" i="32" s="1"/>
  <c r="AK6" i="7"/>
  <c r="AL7" i="7"/>
  <c r="AL7" i="25" s="1"/>
  <c r="AC4" i="32" s="1"/>
  <c r="E6" i="7"/>
  <c r="E6" i="25" s="1"/>
  <c r="S7" i="7"/>
  <c r="S7" i="25" s="1"/>
  <c r="J4" i="32" s="1"/>
  <c r="AS7" i="7"/>
  <c r="AS7" i="25" s="1"/>
  <c r="AJ4" i="32" s="1"/>
  <c r="K9" i="7"/>
  <c r="K9" i="25" s="1"/>
  <c r="B6" i="32" s="1"/>
  <c r="AQ10" i="7"/>
  <c r="AQ10" i="25" s="1"/>
  <c r="AH7" i="32" s="1"/>
  <c r="C48" i="55"/>
  <c r="C49" i="55" s="1"/>
  <c r="C51" i="55" s="1"/>
  <c r="I2" i="42"/>
  <c r="R48" i="55"/>
  <c r="R49" i="55" s="1"/>
  <c r="R51" i="55" s="1"/>
  <c r="M9" i="7"/>
  <c r="M9" i="25" s="1"/>
  <c r="D6" i="32" s="1"/>
  <c r="AB6" i="7"/>
  <c r="AB6" i="25" s="1"/>
  <c r="S3" i="32" s="1"/>
  <c r="N7" i="7"/>
  <c r="N7" i="25" s="1"/>
  <c r="E4" i="32" s="1"/>
  <c r="R9" i="7"/>
  <c r="AG5" i="7"/>
  <c r="AG5" i="25" s="1"/>
  <c r="AH6" i="7"/>
  <c r="AH6" i="25" s="1"/>
  <c r="Y3" i="32" s="1"/>
  <c r="AT9" i="7"/>
  <c r="AT9" i="25" s="1"/>
  <c r="AK6" i="32" s="1"/>
  <c r="P7" i="7"/>
  <c r="P7" i="25" s="1"/>
  <c r="G4" i="32" s="1"/>
  <c r="V7" i="7"/>
  <c r="V7" i="25" s="1"/>
  <c r="M4" i="32" s="1"/>
  <c r="J5" i="7"/>
  <c r="J5" i="25" s="1"/>
  <c r="Q8" i="7"/>
  <c r="Q8" i="25" s="1"/>
  <c r="H5" i="32" s="1"/>
  <c r="AI7" i="7"/>
  <c r="AI7" i="25" s="1"/>
  <c r="Z4" i="32" s="1"/>
  <c r="H7" i="7"/>
  <c r="H7" i="25" s="1"/>
  <c r="I5" i="7"/>
  <c r="I5" i="25" s="1"/>
  <c r="AJ5" i="7"/>
  <c r="P6" i="7"/>
  <c r="P6" i="25" s="1"/>
  <c r="G3" i="32" s="1"/>
  <c r="AM6" i="7"/>
  <c r="AM6" i="25" s="1"/>
  <c r="AD3" i="32" s="1"/>
  <c r="AC2" i="42"/>
  <c r="AL48" i="55"/>
  <c r="AL49" i="55" s="1"/>
  <c r="AL51" i="55" s="1"/>
  <c r="B2" i="42"/>
  <c r="K48" i="55"/>
  <c r="K49" i="55" s="1"/>
  <c r="K51" i="55" s="1"/>
  <c r="F48" i="55"/>
  <c r="F49" i="55" s="1"/>
  <c r="F51" i="55" s="1"/>
  <c r="O2" i="42"/>
  <c r="X48" i="55"/>
  <c r="X49" i="55" s="1"/>
  <c r="X51" i="55" s="1"/>
  <c r="M2" i="42"/>
  <c r="V48" i="55"/>
  <c r="V49" i="55" s="1"/>
  <c r="V51" i="55" s="1"/>
  <c r="I7" i="7"/>
  <c r="I7" i="25" s="1"/>
  <c r="R5" i="7"/>
  <c r="H10" i="7"/>
  <c r="H10" i="25" s="1"/>
  <c r="M8" i="7"/>
  <c r="M8" i="25" s="1"/>
  <c r="D5" i="32" s="1"/>
  <c r="S5" i="7"/>
  <c r="S5" i="25" s="1"/>
  <c r="AM5" i="7"/>
  <c r="AM5" i="25" s="1"/>
  <c r="Q6" i="7"/>
  <c r="Q6" i="25" s="1"/>
  <c r="H3" i="32" s="1"/>
  <c r="W9" i="7"/>
  <c r="W9" i="25" s="1"/>
  <c r="N6" i="32" s="1"/>
  <c r="AB7" i="7"/>
  <c r="AB7" i="25" s="1"/>
  <c r="S4" i="32" s="1"/>
  <c r="AE6" i="7"/>
  <c r="U7" i="7"/>
  <c r="U7" i="25" s="1"/>
  <c r="L4" i="32" s="1"/>
  <c r="J6" i="7"/>
  <c r="J6" i="25" s="1"/>
  <c r="T7" i="7"/>
  <c r="I10" i="7"/>
  <c r="I10" i="25" s="1"/>
  <c r="W6" i="7"/>
  <c r="W6" i="25" s="1"/>
  <c r="N3" i="32" s="1"/>
  <c r="AJ6" i="7"/>
  <c r="AJ6" i="25" s="1"/>
  <c r="AA3" i="32" s="1"/>
  <c r="K8" i="7"/>
  <c r="K8" i="25" s="1"/>
  <c r="B5" i="32" s="1"/>
  <c r="O8" i="7"/>
  <c r="O8" i="25" s="1"/>
  <c r="F5" i="32" s="1"/>
  <c r="H9" i="7"/>
  <c r="H9" i="25" s="1"/>
  <c r="O10" i="7"/>
  <c r="O10" i="25" s="1"/>
  <c r="F7" i="32" s="1"/>
  <c r="F5" i="7"/>
  <c r="F5" i="25" s="1"/>
  <c r="D10" i="7"/>
  <c r="D10" i="25" s="1"/>
  <c r="Q5" i="7"/>
  <c r="Q5" i="25" s="1"/>
  <c r="AK10" i="7"/>
  <c r="AK10" i="25" s="1"/>
  <c r="AB7" i="32" s="1"/>
  <c r="E5" i="7"/>
  <c r="L10" i="7"/>
  <c r="U8" i="7"/>
  <c r="U8" i="25" s="1"/>
  <c r="L5" i="32" s="1"/>
  <c r="AJ8" i="7"/>
  <c r="Z10" i="7"/>
  <c r="L9" i="7"/>
  <c r="L9" i="25" s="1"/>
  <c r="C6" i="32" s="1"/>
  <c r="AE7" i="7"/>
  <c r="AE7" i="25" s="1"/>
  <c r="V4" i="32" s="1"/>
  <c r="U6" i="7"/>
  <c r="U6" i="25" s="1"/>
  <c r="L3" i="32" s="1"/>
  <c r="AN9" i="7"/>
  <c r="AC7" i="7"/>
  <c r="S8" i="7"/>
  <c r="S8" i="25" s="1"/>
  <c r="J5" i="32" s="1"/>
  <c r="AE9" i="7"/>
  <c r="AR8" i="7"/>
  <c r="N10" i="7"/>
  <c r="N10" i="25" s="1"/>
  <c r="E7" i="32" s="1"/>
  <c r="R10" i="7"/>
  <c r="R10" i="25" s="1"/>
  <c r="I7" i="32" s="1"/>
  <c r="T8" i="7"/>
  <c r="T8" i="25" s="1"/>
  <c r="K5" i="32" s="1"/>
  <c r="G5" i="7"/>
  <c r="G5" i="25" s="1"/>
  <c r="X7" i="7"/>
  <c r="AR6" i="7"/>
  <c r="K6" i="7"/>
  <c r="AO5" i="7"/>
  <c r="AO5" i="25" s="1"/>
  <c r="AJ7" i="7"/>
  <c r="AJ7" i="25" s="1"/>
  <c r="AA4" i="32" s="1"/>
  <c r="AL8" i="7"/>
  <c r="AL8" i="25" s="1"/>
  <c r="AC5" i="32" s="1"/>
  <c r="AI9" i="7"/>
  <c r="AI9" i="25" s="1"/>
  <c r="Z6" i="32" s="1"/>
  <c r="G10" i="7"/>
  <c r="G10" i="25" s="1"/>
  <c r="AO7" i="7"/>
  <c r="Y5" i="7"/>
  <c r="Y5" i="25" s="1"/>
  <c r="AE5" i="7"/>
  <c r="AE5" i="25" s="1"/>
  <c r="P9" i="7"/>
  <c r="P9" i="25" s="1"/>
  <c r="G6" i="32" s="1"/>
  <c r="AB9" i="7"/>
  <c r="AB9" i="25" s="1"/>
  <c r="S6" i="32" s="1"/>
  <c r="Q9" i="7"/>
  <c r="Q9" i="25" s="1"/>
  <c r="H6" i="32" s="1"/>
  <c r="R7" i="7"/>
  <c r="R7" i="25" s="1"/>
  <c r="I4" i="32" s="1"/>
  <c r="AC6" i="7"/>
  <c r="AC6" i="25" s="1"/>
  <c r="T3" i="32" s="1"/>
  <c r="U10" i="7"/>
  <c r="U10" i="25" s="1"/>
  <c r="L7" i="32" s="1"/>
  <c r="Y8" i="7"/>
  <c r="Y8" i="25" s="1"/>
  <c r="P5" i="32" s="1"/>
  <c r="AL9" i="7"/>
  <c r="AL9" i="25" s="1"/>
  <c r="AC6" i="32" s="1"/>
  <c r="AK9" i="7"/>
  <c r="AK9" i="25" s="1"/>
  <c r="AB6" i="32" s="1"/>
  <c r="J10" i="7"/>
  <c r="J10" i="25" s="1"/>
  <c r="Z8" i="7"/>
  <c r="Z8" i="25" s="1"/>
  <c r="Q5" i="32" s="1"/>
  <c r="AF6" i="7"/>
  <c r="AF6" i="25" s="1"/>
  <c r="W3" i="32" s="1"/>
  <c r="X5" i="7"/>
  <c r="X5" i="25" s="1"/>
  <c r="K5" i="7"/>
  <c r="K5" i="25" s="1"/>
  <c r="AJ9" i="7"/>
  <c r="AJ9" i="25" s="1"/>
  <c r="AA6" i="32" s="1"/>
  <c r="W5" i="7"/>
  <c r="W5" i="25" s="1"/>
  <c r="N5" i="7"/>
  <c r="N5" i="25" s="1"/>
  <c r="AN10" i="7"/>
  <c r="AN10" i="25" s="1"/>
  <c r="AE7" i="32" s="1"/>
  <c r="AC9" i="7"/>
  <c r="AC9" i="25" s="1"/>
  <c r="T6" i="32" s="1"/>
  <c r="G6" i="7"/>
  <c r="G6" i="25" s="1"/>
  <c r="AF10" i="7"/>
  <c r="Z6" i="7"/>
  <c r="Z6" i="25" s="1"/>
  <c r="Q3" i="32" s="1"/>
  <c r="L5" i="7"/>
  <c r="L5" i="25" s="1"/>
  <c r="AT7" i="7"/>
  <c r="AT7" i="25" s="1"/>
  <c r="AK4" i="32" s="1"/>
  <c r="F7" i="7"/>
  <c r="F7" i="25" s="1"/>
  <c r="AP10" i="7"/>
  <c r="AP10" i="25" s="1"/>
  <c r="AG7" i="32" s="1"/>
  <c r="D9" i="7"/>
  <c r="D9" i="25" s="1"/>
  <c r="W10" i="7"/>
  <c r="W10" i="25" s="1"/>
  <c r="N7" i="32" s="1"/>
  <c r="K10" i="7"/>
  <c r="K10" i="25" s="1"/>
  <c r="B7" i="32" s="1"/>
  <c r="AB5" i="7"/>
  <c r="AB5" i="25" s="1"/>
  <c r="D17" i="7"/>
  <c r="D17" i="25" s="1"/>
  <c r="AM15" i="7"/>
  <c r="AM15" i="25" s="1"/>
  <c r="AD3" i="33" s="1"/>
  <c r="X16" i="7"/>
  <c r="X16" i="25" s="1"/>
  <c r="O4" i="33" s="1"/>
  <c r="AI14" i="7"/>
  <c r="AI14" i="25" s="1"/>
  <c r="Z2" i="33" s="1"/>
  <c r="AT19" i="7"/>
  <c r="AT19" i="25" s="1"/>
  <c r="AK7" i="33" s="1"/>
  <c r="Q19" i="7"/>
  <c r="Q19" i="25" s="1"/>
  <c r="H7" i="33" s="1"/>
  <c r="J17" i="7"/>
  <c r="J17" i="25" s="1"/>
  <c r="AH19" i="7"/>
  <c r="AH19" i="25" s="1"/>
  <c r="Y7" i="33" s="1"/>
  <c r="AK16" i="7"/>
  <c r="AK16" i="25" s="1"/>
  <c r="AB4" i="33" s="1"/>
  <c r="N15" i="7"/>
  <c r="N15" i="25" s="1"/>
  <c r="E3" i="33" s="1"/>
  <c r="AN16" i="7"/>
  <c r="AN16" i="25" s="1"/>
  <c r="AE4" i="33" s="1"/>
  <c r="X17" i="7"/>
  <c r="X17" i="25" s="1"/>
  <c r="O5" i="33" s="1"/>
  <c r="X18" i="7"/>
  <c r="X18" i="25" s="1"/>
  <c r="O6" i="33" s="1"/>
  <c r="L19" i="7"/>
  <c r="L19" i="25" s="1"/>
  <c r="C7" i="33" s="1"/>
  <c r="M16" i="7"/>
  <c r="M16" i="25" s="1"/>
  <c r="D4" i="33" s="1"/>
  <c r="AK14" i="7"/>
  <c r="AK14" i="25" s="1"/>
  <c r="AB2" i="33" s="1"/>
  <c r="P19" i="7"/>
  <c r="P19" i="25" s="1"/>
  <c r="G7" i="33" s="1"/>
  <c r="AO18" i="7"/>
  <c r="AO18" i="25" s="1"/>
  <c r="AF6" i="33" s="1"/>
  <c r="R14" i="7"/>
  <c r="R14" i="25" s="1"/>
  <c r="I2" i="33" s="1"/>
  <c r="AG17" i="7"/>
  <c r="AG17" i="25" s="1"/>
  <c r="X5" i="33" s="1"/>
  <c r="AH16" i="7"/>
  <c r="AH16" i="25" s="1"/>
  <c r="Y4" i="33" s="1"/>
  <c r="AK19" i="7"/>
  <c r="AK19" i="25" s="1"/>
  <c r="AB7" i="33" s="1"/>
  <c r="I17" i="7"/>
  <c r="I17" i="25" s="1"/>
  <c r="N19" i="7"/>
  <c r="N19" i="25" s="1"/>
  <c r="E7" i="33" s="1"/>
  <c r="F15" i="7"/>
  <c r="F15" i="25" s="1"/>
  <c r="AH17" i="7"/>
  <c r="AH17" i="25" s="1"/>
  <c r="Y5" i="33" s="1"/>
  <c r="W18" i="7"/>
  <c r="W18" i="25" s="1"/>
  <c r="N6" i="33" s="1"/>
  <c r="C17" i="7"/>
  <c r="C17" i="25" s="1"/>
  <c r="I19" i="7"/>
  <c r="I19" i="25" s="1"/>
  <c r="G16" i="7"/>
  <c r="G16" i="25" s="1"/>
  <c r="N14" i="7"/>
  <c r="N14" i="25" s="1"/>
  <c r="E2" i="33" s="1"/>
  <c r="AB18" i="7"/>
  <c r="AB18" i="25" s="1"/>
  <c r="S6" i="33" s="1"/>
  <c r="R19" i="7"/>
  <c r="R19" i="25" s="1"/>
  <c r="I7" i="33" s="1"/>
  <c r="Y16" i="7"/>
  <c r="Y16" i="25" s="1"/>
  <c r="P4" i="33" s="1"/>
  <c r="AL16" i="7"/>
  <c r="AL16" i="25" s="1"/>
  <c r="AC4" i="33" s="1"/>
  <c r="AL15" i="7"/>
  <c r="AL15" i="25" s="1"/>
  <c r="AC3" i="33" s="1"/>
  <c r="AR17" i="7"/>
  <c r="AR17" i="25" s="1"/>
  <c r="AI5" i="33" s="1"/>
  <c r="W19" i="7"/>
  <c r="W19" i="25" s="1"/>
  <c r="N7" i="33" s="1"/>
  <c r="AB16" i="7"/>
  <c r="AB16" i="25" s="1"/>
  <c r="S4" i="33" s="1"/>
  <c r="Y14" i="7"/>
  <c r="Y14" i="25" s="1"/>
  <c r="P2" i="33" s="1"/>
  <c r="E17" i="7"/>
  <c r="E17" i="25" s="1"/>
  <c r="J18" i="7"/>
  <c r="J18" i="25" s="1"/>
  <c r="M14" i="7"/>
  <c r="M14" i="25" s="1"/>
  <c r="D2" i="33" s="1"/>
  <c r="O16" i="7"/>
  <c r="O16" i="25" s="1"/>
  <c r="F4" i="33" s="1"/>
  <c r="AE15" i="7"/>
  <c r="AE15" i="25" s="1"/>
  <c r="V3" i="33" s="1"/>
  <c r="N16" i="7"/>
  <c r="N16" i="25" s="1"/>
  <c r="E4" i="33" s="1"/>
  <c r="AP18" i="7"/>
  <c r="AP18" i="25" s="1"/>
  <c r="AG6" i="33" s="1"/>
  <c r="AK17" i="7"/>
  <c r="AK17" i="25" s="1"/>
  <c r="AB5" i="33" s="1"/>
  <c r="AM17" i="7"/>
  <c r="AM17" i="25" s="1"/>
  <c r="AD5" i="33" s="1"/>
  <c r="AB17" i="7"/>
  <c r="AB17" i="25" s="1"/>
  <c r="S5" i="33" s="1"/>
  <c r="Y17" i="7"/>
  <c r="Y17" i="25" s="1"/>
  <c r="P5" i="33" s="1"/>
  <c r="L15" i="7"/>
  <c r="L15" i="25" s="1"/>
  <c r="C3" i="33" s="1"/>
  <c r="O18" i="7"/>
  <c r="O18" i="25" s="1"/>
  <c r="F6" i="33" s="1"/>
  <c r="AE14" i="7"/>
  <c r="AE14" i="25" s="1"/>
  <c r="V2" i="33" s="1"/>
  <c r="AM18" i="7"/>
  <c r="AM18" i="25" s="1"/>
  <c r="AD6" i="33" s="1"/>
  <c r="C18" i="7"/>
  <c r="C18" i="25" s="1"/>
  <c r="AQ16" i="7"/>
  <c r="AQ16" i="25" s="1"/>
  <c r="AH4" i="33" s="1"/>
  <c r="N18" i="7"/>
  <c r="N18" i="25" s="1"/>
  <c r="E6" i="33" s="1"/>
  <c r="P16" i="7"/>
  <c r="P16" i="25" s="1"/>
  <c r="G4" i="33" s="1"/>
  <c r="AC19" i="7"/>
  <c r="AC19" i="25" s="1"/>
  <c r="T7" i="33" s="1"/>
  <c r="AQ14" i="7"/>
  <c r="AQ14" i="25" s="1"/>
  <c r="AH2" i="33" s="1"/>
  <c r="Q17" i="7"/>
  <c r="Q17" i="25" s="1"/>
  <c r="H5" i="33" s="1"/>
  <c r="G15" i="7"/>
  <c r="G15" i="25" s="1"/>
  <c r="U16" i="7"/>
  <c r="U16" i="25" s="1"/>
  <c r="L4" i="33" s="1"/>
  <c r="AD18" i="7"/>
  <c r="AD18" i="25" s="1"/>
  <c r="U6" i="33" s="1"/>
  <c r="U17" i="7"/>
  <c r="U17" i="25" s="1"/>
  <c r="L5" i="33" s="1"/>
  <c r="AR15" i="7"/>
  <c r="AR15" i="25" s="1"/>
  <c r="AI3" i="33" s="1"/>
  <c r="AQ15" i="7"/>
  <c r="AQ15" i="25" s="1"/>
  <c r="AH3" i="33" s="1"/>
  <c r="K16" i="7"/>
  <c r="K16" i="25" s="1"/>
  <c r="B4" i="33" s="1"/>
  <c r="AB19" i="7"/>
  <c r="AB19" i="25" s="1"/>
  <c r="S7" i="33" s="1"/>
  <c r="G14" i="7"/>
  <c r="G14" i="25" s="1"/>
  <c r="AT17" i="7"/>
  <c r="AT17" i="25" s="1"/>
  <c r="AK5" i="33" s="1"/>
  <c r="T16" i="7"/>
  <c r="T16" i="25" s="1"/>
  <c r="K4" i="33" s="1"/>
  <c r="R16" i="7"/>
  <c r="R16" i="25" s="1"/>
  <c r="I4" i="33" s="1"/>
  <c r="AF15" i="7"/>
  <c r="AF15" i="25" s="1"/>
  <c r="W3" i="33" s="1"/>
  <c r="AS17" i="7"/>
  <c r="AS17" i="25" s="1"/>
  <c r="AJ5" i="33" s="1"/>
  <c r="AJ16" i="7"/>
  <c r="AJ16" i="25" s="1"/>
  <c r="AA4" i="33" s="1"/>
  <c r="AJ17" i="7"/>
  <c r="AJ17" i="25" s="1"/>
  <c r="AA5" i="33" s="1"/>
  <c r="T17" i="7"/>
  <c r="T17" i="25" s="1"/>
  <c r="K5" i="33" s="1"/>
  <c r="AA14" i="7"/>
  <c r="AA14" i="25" s="1"/>
  <c r="R2" i="33" s="1"/>
  <c r="AD16" i="7"/>
  <c r="AD16" i="25" s="1"/>
  <c r="U4" i="33" s="1"/>
  <c r="J19" i="7"/>
  <c r="J19" i="25" s="1"/>
  <c r="Z19" i="7"/>
  <c r="Z19" i="25" s="1"/>
  <c r="Q7" i="33" s="1"/>
  <c r="AP15" i="7"/>
  <c r="AP15" i="25" s="1"/>
  <c r="AG3" i="33" s="1"/>
  <c r="C16" i="7"/>
  <c r="C16" i="25" s="1"/>
  <c r="AK15" i="7"/>
  <c r="AK15" i="25" s="1"/>
  <c r="AB3" i="33" s="1"/>
  <c r="O15" i="7"/>
  <c r="O15" i="25" s="1"/>
  <c r="F3" i="33" s="1"/>
  <c r="AN14" i="7"/>
  <c r="AN14" i="25" s="1"/>
  <c r="AE2" i="33" s="1"/>
  <c r="AF17" i="7"/>
  <c r="AF17" i="25" s="1"/>
  <c r="W5" i="33" s="1"/>
  <c r="AU16" i="7"/>
  <c r="AU16" i="25" s="1"/>
  <c r="AL4" i="33" s="1"/>
  <c r="P18" i="7"/>
  <c r="P18" i="25" s="1"/>
  <c r="G6" i="33" s="1"/>
  <c r="AD15" i="7"/>
  <c r="AD15" i="25" s="1"/>
  <c r="U3" i="33" s="1"/>
  <c r="AT14" i="7"/>
  <c r="AT14" i="25" s="1"/>
  <c r="AK2" i="33" s="1"/>
  <c r="R17" i="7"/>
  <c r="R17" i="25" s="1"/>
  <c r="I5" i="33" s="1"/>
  <c r="AJ18" i="7"/>
  <c r="AJ18" i="25" s="1"/>
  <c r="AA6" i="33" s="1"/>
  <c r="V15" i="7"/>
  <c r="V15" i="25" s="1"/>
  <c r="M3" i="33" s="1"/>
  <c r="AG19" i="7"/>
  <c r="AG19" i="25" s="1"/>
  <c r="X7" i="33" s="1"/>
  <c r="Y19" i="7"/>
  <c r="Y19" i="25" s="1"/>
  <c r="P7" i="33" s="1"/>
  <c r="AF14" i="7"/>
  <c r="AF14" i="25" s="1"/>
  <c r="W2" i="33" s="1"/>
  <c r="AI18" i="7"/>
  <c r="AI18" i="25" s="1"/>
  <c r="Z6" i="33" s="1"/>
  <c r="G19" i="7"/>
  <c r="G19" i="25" s="1"/>
  <c r="AF18" i="7"/>
  <c r="AF18" i="25" s="1"/>
  <c r="W6" i="33" s="1"/>
  <c r="L14" i="7"/>
  <c r="L14" i="25" s="1"/>
  <c r="C2" i="33" s="1"/>
  <c r="D15" i="7"/>
  <c r="D15" i="25" s="1"/>
  <c r="D19" i="7"/>
  <c r="D19" i="25" s="1"/>
  <c r="AC16" i="7"/>
  <c r="AC16" i="25" s="1"/>
  <c r="T4" i="33" s="1"/>
  <c r="AM14" i="7"/>
  <c r="AM14" i="25" s="1"/>
  <c r="AD2" i="33" s="1"/>
  <c r="AE17" i="7"/>
  <c r="AE17" i="25" s="1"/>
  <c r="V5" i="33" s="1"/>
  <c r="AR18" i="7"/>
  <c r="AR18" i="25" s="1"/>
  <c r="AI6" i="33" s="1"/>
  <c r="AQ18" i="7"/>
  <c r="AQ18" i="25" s="1"/>
  <c r="AH6" i="33" s="1"/>
  <c r="AC18" i="7"/>
  <c r="AC18" i="25" s="1"/>
  <c r="T6" i="33" s="1"/>
  <c r="M19" i="7"/>
  <c r="M19" i="25" s="1"/>
  <c r="D7" i="33" s="1"/>
  <c r="L17" i="7"/>
  <c r="L17" i="25" s="1"/>
  <c r="C5" i="33" s="1"/>
  <c r="AS18" i="7"/>
  <c r="AS18" i="25" s="1"/>
  <c r="AJ6" i="33" s="1"/>
  <c r="U18" i="7"/>
  <c r="U18" i="25" s="1"/>
  <c r="L6" i="33" s="1"/>
  <c r="W16" i="7"/>
  <c r="W16" i="25" s="1"/>
  <c r="N4" i="33" s="1"/>
  <c r="F19" i="7"/>
  <c r="F19" i="25" s="1"/>
  <c r="E14" i="7"/>
  <c r="E14" i="25" s="1"/>
  <c r="K19" i="7"/>
  <c r="K19" i="25" s="1"/>
  <c r="B7" i="33" s="1"/>
  <c r="K15" i="7"/>
  <c r="K15" i="25" s="1"/>
  <c r="B3" i="33" s="1"/>
  <c r="AU14" i="7"/>
  <c r="AU14" i="25" s="1"/>
  <c r="AL2" i="33" s="1"/>
  <c r="S16" i="7"/>
  <c r="S16" i="25" s="1"/>
  <c r="J4" i="33" s="1"/>
  <c r="V17" i="7"/>
  <c r="V17" i="25" s="1"/>
  <c r="M5" i="33" s="1"/>
  <c r="AQ17" i="7"/>
  <c r="AQ17" i="25" s="1"/>
  <c r="AH5" i="33" s="1"/>
  <c r="AP16" i="7"/>
  <c r="AP16" i="25" s="1"/>
  <c r="AG4" i="33" s="1"/>
  <c r="I14" i="7"/>
  <c r="I14" i="25" s="1"/>
  <c r="F16" i="7"/>
  <c r="F16" i="25" s="1"/>
  <c r="AS15" i="7"/>
  <c r="AS15" i="25" s="1"/>
  <c r="AJ3" i="33" s="1"/>
  <c r="AO15" i="7"/>
  <c r="AO15" i="25" s="1"/>
  <c r="AF3" i="33" s="1"/>
  <c r="AL18" i="7"/>
  <c r="AL18" i="25" s="1"/>
  <c r="AC6" i="33" s="1"/>
  <c r="AA15" i="7"/>
  <c r="AA15" i="25" s="1"/>
  <c r="R3" i="33" s="1"/>
  <c r="X14" i="7"/>
  <c r="X14" i="25" s="1"/>
  <c r="O2" i="33" s="1"/>
  <c r="AN15" i="7"/>
  <c r="AN15" i="25" s="1"/>
  <c r="AE3" i="33" s="1"/>
  <c r="AO19" i="7"/>
  <c r="AO19" i="25" s="1"/>
  <c r="AF7" i="33" s="1"/>
  <c r="AP14" i="7"/>
  <c r="AP14" i="25" s="1"/>
  <c r="AG2" i="33" s="1"/>
  <c r="M18" i="7"/>
  <c r="M18" i="25" s="1"/>
  <c r="D6" i="33" s="1"/>
  <c r="E15" i="7"/>
  <c r="E15" i="25" s="1"/>
  <c r="C19" i="7"/>
  <c r="C19" i="25" s="1"/>
  <c r="AJ19" i="7"/>
  <c r="AJ19" i="25" s="1"/>
  <c r="AA7" i="33" s="1"/>
  <c r="AS16" i="7"/>
  <c r="AS16" i="25" s="1"/>
  <c r="AJ4" i="33" s="1"/>
  <c r="Z18" i="7"/>
  <c r="Z18" i="25" s="1"/>
  <c r="Q6" i="33" s="1"/>
  <c r="K17" i="7"/>
  <c r="K17" i="25" s="1"/>
  <c r="B5" i="33" s="1"/>
  <c r="E19" i="7"/>
  <c r="E19" i="25" s="1"/>
  <c r="N17" i="7"/>
  <c r="N17" i="25" s="1"/>
  <c r="E5" i="33" s="1"/>
  <c r="AP17" i="7"/>
  <c r="AP17" i="25" s="1"/>
  <c r="AG5" i="33" s="1"/>
  <c r="AU15" i="7"/>
  <c r="AU15" i="25" s="1"/>
  <c r="AL3" i="33" s="1"/>
  <c r="V18" i="7"/>
  <c r="V18" i="25" s="1"/>
  <c r="M6" i="33" s="1"/>
  <c r="I16" i="7"/>
  <c r="I16" i="25" s="1"/>
  <c r="AF16" i="7"/>
  <c r="AF16" i="25" s="1"/>
  <c r="W4" i="33" s="1"/>
  <c r="AC15" i="7"/>
  <c r="AC15" i="25" s="1"/>
  <c r="T3" i="33" s="1"/>
  <c r="D14" i="7"/>
  <c r="D14" i="25" s="1"/>
  <c r="X15" i="7"/>
  <c r="X15" i="25" s="1"/>
  <c r="O3" i="33" s="1"/>
  <c r="U14" i="7"/>
  <c r="U14" i="25" s="1"/>
  <c r="L2" i="33" s="1"/>
  <c r="AP19" i="7"/>
  <c r="AP19" i="25" s="1"/>
  <c r="AG7" i="33" s="1"/>
  <c r="AE16" i="7"/>
  <c r="AE16" i="25" s="1"/>
  <c r="V4" i="33" s="1"/>
  <c r="C14" i="7"/>
  <c r="C14" i="25" s="1"/>
  <c r="AL17" i="7"/>
  <c r="AL17" i="25" s="1"/>
  <c r="AC5" i="33" s="1"/>
  <c r="S17" i="7"/>
  <c r="S17" i="25" s="1"/>
  <c r="J5" i="33" s="1"/>
  <c r="AD19" i="7"/>
  <c r="AD19" i="25" s="1"/>
  <c r="U7" i="33" s="1"/>
  <c r="AA19" i="7"/>
  <c r="AA19" i="25" s="1"/>
  <c r="R7" i="33" s="1"/>
  <c r="E18" i="7"/>
  <c r="E18" i="25" s="1"/>
  <c r="V19" i="7"/>
  <c r="V19" i="25" s="1"/>
  <c r="M7" i="33" s="1"/>
  <c r="AQ19" i="7"/>
  <c r="AQ19" i="25" s="1"/>
  <c r="AH7" i="33" s="1"/>
  <c r="J15" i="7"/>
  <c r="J15" i="25" s="1"/>
  <c r="AM19" i="7"/>
  <c r="AM19" i="25" s="1"/>
  <c r="AD7" i="33" s="1"/>
  <c r="T14" i="7"/>
  <c r="T14" i="25" s="1"/>
  <c r="K2" i="33" s="1"/>
  <c r="AC14" i="7"/>
  <c r="AC14" i="25" s="1"/>
  <c r="T2" i="33" s="1"/>
  <c r="AI19" i="7"/>
  <c r="AI19" i="25" s="1"/>
  <c r="Z7" i="33" s="1"/>
  <c r="W14" i="7"/>
  <c r="W14" i="25" s="1"/>
  <c r="N2" i="33" s="1"/>
  <c r="AI16" i="7"/>
  <c r="AI16" i="25" s="1"/>
  <c r="Z4" i="33" s="1"/>
  <c r="T19" i="7"/>
  <c r="T19" i="25" s="1"/>
  <c r="K7" i="33" s="1"/>
  <c r="P14" i="7"/>
  <c r="P14" i="25" s="1"/>
  <c r="G2" i="33" s="1"/>
  <c r="Z15" i="7"/>
  <c r="Z15" i="25" s="1"/>
  <c r="Q3" i="33" s="1"/>
  <c r="AC17" i="7"/>
  <c r="AC17" i="25" s="1"/>
  <c r="T5" i="33" s="1"/>
  <c r="AN17" i="7"/>
  <c r="AN17" i="25" s="1"/>
  <c r="AE5" i="33" s="1"/>
  <c r="U15" i="7"/>
  <c r="U15" i="25" s="1"/>
  <c r="L3" i="33" s="1"/>
  <c r="S15" i="7"/>
  <c r="S15" i="25" s="1"/>
  <c r="J3" i="33" s="1"/>
  <c r="AR14" i="7"/>
  <c r="AR14" i="25" s="1"/>
  <c r="AI2" i="33" s="1"/>
  <c r="AJ14" i="7"/>
  <c r="AJ14" i="25" s="1"/>
  <c r="AA2" i="33" s="1"/>
  <c r="Q16" i="7"/>
  <c r="Q16" i="25" s="1"/>
  <c r="H4" i="33" s="1"/>
  <c r="AB15" i="7"/>
  <c r="AB15" i="25" s="1"/>
  <c r="S3" i="33" s="1"/>
  <c r="AT18" i="7"/>
  <c r="AT18" i="25" s="1"/>
  <c r="AK6" i="33" s="1"/>
  <c r="H16" i="7"/>
  <c r="H16" i="25" s="1"/>
  <c r="AA18" i="7"/>
  <c r="AA18" i="25" s="1"/>
  <c r="R6" i="33" s="1"/>
  <c r="AR16" i="7"/>
  <c r="AR16" i="25" s="1"/>
  <c r="AI4" i="33" s="1"/>
  <c r="Q15" i="7"/>
  <c r="Q15" i="25" s="1"/>
  <c r="H3" i="33" s="1"/>
  <c r="H14" i="7"/>
  <c r="H14" i="25" s="1"/>
  <c r="W17" i="7"/>
  <c r="W17" i="25" s="1"/>
  <c r="N5" i="33" s="1"/>
  <c r="U19" i="7"/>
  <c r="U19" i="25" s="1"/>
  <c r="L7" i="33" s="1"/>
  <c r="AI17" i="7"/>
  <c r="AI17" i="25" s="1"/>
  <c r="Z5" i="33" s="1"/>
  <c r="AE18" i="7"/>
  <c r="AE18" i="25" s="1"/>
  <c r="V6" i="33" s="1"/>
  <c r="R15" i="7"/>
  <c r="R15" i="25" s="1"/>
  <c r="I3" i="33" s="1"/>
  <c r="H15" i="7"/>
  <c r="H15" i="25" s="1"/>
  <c r="D16" i="7"/>
  <c r="D16" i="25" s="1"/>
  <c r="W15" i="7"/>
  <c r="W15" i="25" s="1"/>
  <c r="N3" i="33" s="1"/>
  <c r="P15" i="7"/>
  <c r="P15" i="25" s="1"/>
  <c r="G3" i="33" s="1"/>
  <c r="AA17" i="7"/>
  <c r="AA17" i="25" s="1"/>
  <c r="R5" i="33" s="1"/>
  <c r="O17" i="7"/>
  <c r="O17" i="25" s="1"/>
  <c r="F5" i="33" s="1"/>
  <c r="K14" i="7"/>
  <c r="K14" i="25" s="1"/>
  <c r="B2" i="33" s="1"/>
  <c r="AK18" i="7"/>
  <c r="AK18" i="25" s="1"/>
  <c r="AB6" i="33" s="1"/>
  <c r="S19" i="7"/>
  <c r="S19" i="25" s="1"/>
  <c r="J7" i="33" s="1"/>
  <c r="J16" i="7"/>
  <c r="J16" i="25" s="1"/>
  <c r="AG14" i="7"/>
  <c r="AG14" i="25" s="1"/>
  <c r="X2" i="33" s="1"/>
  <c r="F14" i="7"/>
  <c r="F14" i="25" s="1"/>
  <c r="I18" i="7"/>
  <c r="I18" i="25" s="1"/>
  <c r="X19" i="7"/>
  <c r="X19" i="25" s="1"/>
  <c r="O7" i="33" s="1"/>
  <c r="J14" i="7"/>
  <c r="J14" i="25" s="1"/>
  <c r="AO14" i="7"/>
  <c r="AO14" i="25" s="1"/>
  <c r="AF2" i="33" s="1"/>
  <c r="M17" i="7"/>
  <c r="M17" i="25" s="1"/>
  <c r="D5" i="33" s="1"/>
  <c r="T18" i="7"/>
  <c r="T18" i="25" s="1"/>
  <c r="K6" i="33" s="1"/>
  <c r="AN18" i="7"/>
  <c r="AN18" i="25" s="1"/>
  <c r="AE6" i="33" s="1"/>
  <c r="Y18" i="7"/>
  <c r="Y18" i="25" s="1"/>
  <c r="P6" i="33" s="1"/>
  <c r="AL14" i="7"/>
  <c r="AL14" i="25" s="1"/>
  <c r="AC2" i="33" s="1"/>
  <c r="V14" i="7"/>
  <c r="V14" i="25" s="1"/>
  <c r="M2" i="33" s="1"/>
  <c r="AU17" i="7"/>
  <c r="AU17" i="25" s="1"/>
  <c r="AL5" i="33" s="1"/>
  <c r="T15" i="7"/>
  <c r="T15" i="25" s="1"/>
  <c r="K3" i="33" s="1"/>
  <c r="AH14" i="7"/>
  <c r="AH14" i="25" s="1"/>
  <c r="Y2" i="33" s="1"/>
  <c r="G17" i="7"/>
  <c r="G17" i="25" s="1"/>
  <c r="R18" i="7"/>
  <c r="R18" i="25" s="1"/>
  <c r="I6" i="33" s="1"/>
  <c r="O19" i="7"/>
  <c r="O19" i="25" s="1"/>
  <c r="F7" i="33" s="1"/>
  <c r="Y15" i="7"/>
  <c r="Y15" i="25" s="1"/>
  <c r="P3" i="33" s="1"/>
  <c r="AH15" i="7"/>
  <c r="AH15" i="25" s="1"/>
  <c r="Y3" i="33" s="1"/>
  <c r="AN19" i="7"/>
  <c r="AN19" i="25" s="1"/>
  <c r="AE7" i="33" s="1"/>
  <c r="AM16" i="7"/>
  <c r="AM16" i="25" s="1"/>
  <c r="AD4" i="33" s="1"/>
  <c r="AS14" i="7"/>
  <c r="AS14" i="25" s="1"/>
  <c r="AJ2" i="33" s="1"/>
  <c r="AA16" i="7"/>
  <c r="AA16" i="25" s="1"/>
  <c r="R4" i="33" s="1"/>
  <c r="O14" i="7"/>
  <c r="O14" i="25" s="1"/>
  <c r="F2" i="33" s="1"/>
  <c r="AU18" i="7"/>
  <c r="AU18" i="25" s="1"/>
  <c r="AL6" i="33" s="1"/>
  <c r="H17" i="7"/>
  <c r="H17" i="25" s="1"/>
  <c r="AG16" i="7"/>
  <c r="AG16" i="25" s="1"/>
  <c r="X4" i="33" s="1"/>
  <c r="AJ15" i="7"/>
  <c r="AJ15" i="25" s="1"/>
  <c r="AA3" i="33" s="1"/>
  <c r="F18" i="7"/>
  <c r="F18" i="25" s="1"/>
  <c r="AO16" i="7"/>
  <c r="AO16" i="25" s="1"/>
  <c r="AF4" i="33" s="1"/>
  <c r="M15" i="7"/>
  <c r="M15" i="25" s="1"/>
  <c r="D3" i="33" s="1"/>
  <c r="AB14" i="7"/>
  <c r="AB14" i="25" s="1"/>
  <c r="S2" i="33" s="1"/>
  <c r="L16" i="7"/>
  <c r="L16" i="25" s="1"/>
  <c r="C4" i="33" s="1"/>
  <c r="P17" i="7"/>
  <c r="P17" i="25" s="1"/>
  <c r="G5" i="33" s="1"/>
  <c r="H19" i="7"/>
  <c r="H19" i="25" s="1"/>
  <c r="AD14" i="7"/>
  <c r="AD14" i="25" s="1"/>
  <c r="U2" i="33" s="1"/>
  <c r="AH18" i="7"/>
  <c r="AH18" i="25" s="1"/>
  <c r="Y6" i="33" s="1"/>
  <c r="Q14" i="7"/>
  <c r="Q14" i="25" s="1"/>
  <c r="H2" i="33" s="1"/>
  <c r="F17" i="7"/>
  <c r="F17" i="25" s="1"/>
  <c r="AD17" i="7"/>
  <c r="AD17" i="25" s="1"/>
  <c r="U5" i="33" s="1"/>
  <c r="AG15" i="7"/>
  <c r="AG15" i="25" s="1"/>
  <c r="X3" i="33" s="1"/>
  <c r="Q18" i="7"/>
  <c r="Q18" i="25" s="1"/>
  <c r="H6" i="33" s="1"/>
  <c r="AS19" i="7"/>
  <c r="AS19" i="25" s="1"/>
  <c r="AJ7" i="33" s="1"/>
  <c r="D18" i="7"/>
  <c r="D18" i="25" s="1"/>
  <c r="AL19" i="7"/>
  <c r="AL19" i="25" s="1"/>
  <c r="AC7" i="33" s="1"/>
  <c r="AR19" i="7"/>
  <c r="AR19" i="25" s="1"/>
  <c r="AI7" i="33" s="1"/>
  <c r="AT15" i="7"/>
  <c r="AT15" i="25" s="1"/>
  <c r="AK3" i="33" s="1"/>
  <c r="AU19" i="7"/>
  <c r="AU19" i="25" s="1"/>
  <c r="AL7" i="33" s="1"/>
  <c r="S14" i="7"/>
  <c r="S14" i="25" s="1"/>
  <c r="J2" i="33" s="1"/>
  <c r="I15" i="7"/>
  <c r="I15" i="25" s="1"/>
  <c r="C15" i="7"/>
  <c r="C15" i="25" s="1"/>
  <c r="AE19" i="7"/>
  <c r="AE19" i="25" s="1"/>
  <c r="V7" i="33" s="1"/>
  <c r="Z16" i="7"/>
  <c r="Z16" i="25" s="1"/>
  <c r="Q4" i="33" s="1"/>
  <c r="AG18" i="7"/>
  <c r="AG18" i="25" s="1"/>
  <c r="X6" i="33" s="1"/>
  <c r="S18" i="7"/>
  <c r="S18" i="25" s="1"/>
  <c r="J6" i="33" s="1"/>
  <c r="H18" i="7"/>
  <c r="H18" i="25" s="1"/>
  <c r="Z14" i="7"/>
  <c r="Z14" i="25" s="1"/>
  <c r="Q2" i="33" s="1"/>
  <c r="K18" i="7"/>
  <c r="K18" i="25" s="1"/>
  <c r="B6" i="33" s="1"/>
  <c r="Z17" i="7"/>
  <c r="Z17" i="25" s="1"/>
  <c r="Q5" i="33" s="1"/>
  <c r="E16" i="7"/>
  <c r="E16" i="25" s="1"/>
  <c r="AF19" i="7"/>
  <c r="AF19" i="25" s="1"/>
  <c r="W7" i="33" s="1"/>
  <c r="AO17" i="7"/>
  <c r="AO17" i="25" s="1"/>
  <c r="AF5" i="33" s="1"/>
  <c r="AI15" i="7"/>
  <c r="AI15" i="25" s="1"/>
  <c r="Z3" i="33" s="1"/>
  <c r="V16" i="7"/>
  <c r="V16" i="25" s="1"/>
  <c r="M4" i="33" s="1"/>
  <c r="G18" i="7"/>
  <c r="G18" i="25" s="1"/>
  <c r="AT16" i="7"/>
  <c r="AT16" i="25" s="1"/>
  <c r="AK4" i="33" s="1"/>
  <c r="L18" i="7"/>
  <c r="L18" i="25" s="1"/>
  <c r="C6" i="33" s="1"/>
  <c r="AU41" i="7"/>
  <c r="AU41" i="25" s="1"/>
  <c r="AL2" i="39" s="1"/>
  <c r="AH44" i="7"/>
  <c r="AH44" i="25" s="1"/>
  <c r="Y5" i="39" s="1"/>
  <c r="AD43" i="7"/>
  <c r="G46" i="7"/>
  <c r="G46" i="25" s="1"/>
  <c r="Y46" i="7"/>
  <c r="Y46" i="25" s="1"/>
  <c r="P7" i="39" s="1"/>
  <c r="AC44" i="7"/>
  <c r="AQ44" i="7"/>
  <c r="AQ44" i="25" s="1"/>
  <c r="AH5" i="39" s="1"/>
  <c r="I46" i="7"/>
  <c r="I46" i="25" s="1"/>
  <c r="AE46" i="7"/>
  <c r="AE46" i="25" s="1"/>
  <c r="V7" i="39" s="1"/>
  <c r="S46" i="7"/>
  <c r="S46" i="25" s="1"/>
  <c r="J7" i="39" s="1"/>
  <c r="C41" i="7"/>
  <c r="C41" i="25" s="1"/>
  <c r="Q46" i="7"/>
  <c r="AP46" i="7"/>
  <c r="AP46" i="25" s="1"/>
  <c r="AG7" i="39" s="1"/>
  <c r="R46" i="7"/>
  <c r="R46" i="25" s="1"/>
  <c r="I7" i="39" s="1"/>
  <c r="F45" i="7"/>
  <c r="F45" i="25" s="1"/>
  <c r="AD41" i="7"/>
  <c r="AD41" i="25" s="1"/>
  <c r="U2" i="39" s="1"/>
  <c r="AT41" i="7"/>
  <c r="AT41" i="25" s="1"/>
  <c r="AK2" i="39" s="1"/>
  <c r="P43" i="7"/>
  <c r="P43" i="25" s="1"/>
  <c r="G4" i="39" s="1"/>
  <c r="AL43" i="7"/>
  <c r="AL43" i="25" s="1"/>
  <c r="AC4" i="39" s="1"/>
  <c r="AT46" i="7"/>
  <c r="Z45" i="7"/>
  <c r="Z45" i="25" s="1"/>
  <c r="Q6" i="39" s="1"/>
  <c r="X43" i="7"/>
  <c r="X43" i="25" s="1"/>
  <c r="O4" i="39" s="1"/>
  <c r="D44" i="7"/>
  <c r="D44" i="25" s="1"/>
  <c r="Y43" i="7"/>
  <c r="Y43" i="25" s="1"/>
  <c r="P4" i="39" s="1"/>
  <c r="E41" i="7"/>
  <c r="E41" i="25" s="1"/>
  <c r="AF46" i="7"/>
  <c r="AF46" i="25" s="1"/>
  <c r="W7" i="39" s="1"/>
  <c r="T45" i="7"/>
  <c r="AG41" i="7"/>
  <c r="AG41" i="25" s="1"/>
  <c r="X2" i="39" s="1"/>
  <c r="T41" i="7"/>
  <c r="T41" i="25" s="1"/>
  <c r="K2" i="39" s="1"/>
  <c r="Q45" i="7"/>
  <c r="Q45" i="25" s="1"/>
  <c r="H6" i="39" s="1"/>
  <c r="Q44" i="7"/>
  <c r="Q44" i="25" s="1"/>
  <c r="H5" i="39" s="1"/>
  <c r="AH45" i="7"/>
  <c r="AH45" i="25" s="1"/>
  <c r="Y6" i="39" s="1"/>
  <c r="AG44" i="7"/>
  <c r="AG44" i="25" s="1"/>
  <c r="X5" i="39" s="1"/>
  <c r="J46" i="7"/>
  <c r="J46" i="25" s="1"/>
  <c r="V45" i="7"/>
  <c r="V45" i="25" s="1"/>
  <c r="M6" i="39" s="1"/>
  <c r="AH43" i="7"/>
  <c r="AK46" i="7"/>
  <c r="AK46" i="25" s="1"/>
  <c r="AB7" i="39" s="1"/>
  <c r="G45" i="7"/>
  <c r="G45" i="25" s="1"/>
  <c r="P41" i="7"/>
  <c r="P41" i="25" s="1"/>
  <c r="G2" i="39" s="1"/>
  <c r="C42" i="7"/>
  <c r="C42" i="25" s="1"/>
  <c r="AK43" i="7"/>
  <c r="AK43" i="25" s="1"/>
  <c r="AB4" i="39" s="1"/>
  <c r="AB45" i="7"/>
  <c r="AB45" i="25" s="1"/>
  <c r="S6" i="39" s="1"/>
  <c r="Y42" i="7"/>
  <c r="Y42" i="25" s="1"/>
  <c r="P3" i="39" s="1"/>
  <c r="X45" i="7"/>
  <c r="X45" i="25" s="1"/>
  <c r="O6" i="39" s="1"/>
  <c r="AT45" i="7"/>
  <c r="AT45" i="25" s="1"/>
  <c r="AK6" i="39" s="1"/>
  <c r="G42" i="7"/>
  <c r="G42" i="25" s="1"/>
  <c r="AQ42" i="7"/>
  <c r="AQ42" i="25" s="1"/>
  <c r="AH3" i="39" s="1"/>
  <c r="AN45" i="7"/>
  <c r="AN45" i="25" s="1"/>
  <c r="AE6" i="39" s="1"/>
  <c r="S45" i="7"/>
  <c r="S45" i="25" s="1"/>
  <c r="J6" i="39" s="1"/>
  <c r="F43" i="7"/>
  <c r="F43" i="25" s="1"/>
  <c r="D41" i="7"/>
  <c r="D41" i="25" s="1"/>
  <c r="AO46" i="7"/>
  <c r="AM43" i="7"/>
  <c r="AM43" i="25" s="1"/>
  <c r="AD4" i="39" s="1"/>
  <c r="F41" i="7"/>
  <c r="F41" i="25" s="1"/>
  <c r="T44" i="7"/>
  <c r="T44" i="25" s="1"/>
  <c r="K5" i="39" s="1"/>
  <c r="AL42" i="7"/>
  <c r="AL42" i="25" s="1"/>
  <c r="AC3" i="39" s="1"/>
  <c r="L44" i="7"/>
  <c r="L44" i="25" s="1"/>
  <c r="C5" i="39" s="1"/>
  <c r="O46" i="7"/>
  <c r="O46" i="25" s="1"/>
  <c r="F7" i="39" s="1"/>
  <c r="O43" i="7"/>
  <c r="O43" i="25" s="1"/>
  <c r="F4" i="39" s="1"/>
  <c r="L42" i="7"/>
  <c r="L42" i="25" s="1"/>
  <c r="C3" i="39" s="1"/>
  <c r="AR44" i="7"/>
  <c r="AS45" i="7"/>
  <c r="AS45" i="25" s="1"/>
  <c r="AJ6" i="39" s="1"/>
  <c r="J42" i="7"/>
  <c r="J42" i="25" s="1"/>
  <c r="U41" i="7"/>
  <c r="U41" i="25" s="1"/>
  <c r="L2" i="39" s="1"/>
  <c r="AL44" i="7"/>
  <c r="AL44" i="25" s="1"/>
  <c r="AC5" i="39" s="1"/>
  <c r="E44" i="7"/>
  <c r="E44" i="25" s="1"/>
  <c r="O45" i="7"/>
  <c r="AN44" i="7"/>
  <c r="AN44" i="25" s="1"/>
  <c r="AE5" i="39" s="1"/>
  <c r="AC10" i="7"/>
  <c r="AC10" i="25" s="1"/>
  <c r="T7" i="32" s="1"/>
  <c r="AI45" i="7"/>
  <c r="AI45" i="25" s="1"/>
  <c r="Z6" i="39" s="1"/>
  <c r="AI8" i="7"/>
  <c r="AI8" i="25" s="1"/>
  <c r="Z5" i="32" s="1"/>
  <c r="R8" i="7"/>
  <c r="R8" i="25" s="1"/>
  <c r="I5" i="32" s="1"/>
  <c r="E8" i="7"/>
  <c r="E8" i="25" s="1"/>
  <c r="S10" i="7"/>
  <c r="S10" i="25" s="1"/>
  <c r="J7" i="32" s="1"/>
  <c r="C10" i="7"/>
  <c r="C10" i="25" s="1"/>
  <c r="Z9" i="7"/>
  <c r="Z9" i="25" s="1"/>
  <c r="Q6" i="32" s="1"/>
  <c r="AD8" i="7"/>
  <c r="AD8" i="25" s="1"/>
  <c r="U5" i="32" s="1"/>
  <c r="AE8" i="7"/>
  <c r="AE8" i="25" s="1"/>
  <c r="V5" i="32" s="1"/>
  <c r="AG8" i="7"/>
  <c r="AG8" i="25" s="1"/>
  <c r="X5" i="32" s="1"/>
  <c r="P5" i="7"/>
  <c r="P5" i="25" s="1"/>
  <c r="V8" i="7"/>
  <c r="V8" i="25" s="1"/>
  <c r="M5" i="32" s="1"/>
  <c r="AG9" i="7"/>
  <c r="AG9" i="25" s="1"/>
  <c r="X6" i="32" s="1"/>
  <c r="AS5" i="7"/>
  <c r="AS5" i="25" s="1"/>
  <c r="AR5" i="7"/>
  <c r="AR5" i="25" s="1"/>
  <c r="G7" i="7"/>
  <c r="G7" i="25" s="1"/>
  <c r="E9" i="7"/>
  <c r="E9" i="25" s="1"/>
  <c r="F10" i="7"/>
  <c r="F10" i="25" s="1"/>
  <c r="AR9" i="7"/>
  <c r="AR9" i="25" s="1"/>
  <c r="AI6" i="32" s="1"/>
  <c r="S6" i="7"/>
  <c r="S6" i="25" s="1"/>
  <c r="J3" i="32" s="1"/>
  <c r="R6" i="7"/>
  <c r="R6" i="25" s="1"/>
  <c r="I3" i="32" s="1"/>
  <c r="Z5" i="7"/>
  <c r="Z5" i="25" s="1"/>
  <c r="T5" i="7"/>
  <c r="T5" i="25" s="1"/>
  <c r="AQ9" i="7"/>
  <c r="AQ9" i="25" s="1"/>
  <c r="AH6" i="32" s="1"/>
  <c r="AT5" i="7"/>
  <c r="AT5" i="25" s="1"/>
  <c r="AD9" i="7"/>
  <c r="AD9" i="25" s="1"/>
  <c r="U6" i="32" s="1"/>
  <c r="S9" i="7"/>
  <c r="S9" i="25" s="1"/>
  <c r="J6" i="32" s="1"/>
  <c r="AT10" i="7"/>
  <c r="AT10" i="25" s="1"/>
  <c r="AK7" i="32" s="1"/>
  <c r="AN6" i="7"/>
  <c r="AN6" i="25" s="1"/>
  <c r="AE3" i="32" s="1"/>
  <c r="AS10" i="7"/>
  <c r="AS10" i="25" s="1"/>
  <c r="AJ7" i="32" s="1"/>
  <c r="AC5" i="7"/>
  <c r="AC5" i="25" s="1"/>
  <c r="AU9" i="7"/>
  <c r="AU9" i="25" s="1"/>
  <c r="AL6" i="32" s="1"/>
  <c r="AP6" i="7"/>
  <c r="AP6" i="25" s="1"/>
  <c r="AG3" i="32" s="1"/>
  <c r="AK7" i="7"/>
  <c r="AK7" i="25" s="1"/>
  <c r="AB4" i="32" s="1"/>
  <c r="AN8" i="7"/>
  <c r="AN8" i="25" s="1"/>
  <c r="AE5" i="32" s="1"/>
  <c r="N9" i="7"/>
  <c r="N9" i="25" s="1"/>
  <c r="E6" i="32" s="1"/>
  <c r="AP9" i="7"/>
  <c r="AP9" i="25" s="1"/>
  <c r="AG6" i="32" s="1"/>
  <c r="AG6" i="7"/>
  <c r="AG6" i="25" s="1"/>
  <c r="X3" i="32" s="1"/>
  <c r="U5" i="7"/>
  <c r="U5" i="25" s="1"/>
  <c r="C6" i="7"/>
  <c r="C6" i="25" s="1"/>
  <c r="G9" i="7"/>
  <c r="G9" i="25" s="1"/>
  <c r="X8" i="7"/>
  <c r="X8" i="25" s="1"/>
  <c r="O5" i="32" s="1"/>
  <c r="Y7" i="7"/>
  <c r="Y7" i="25" s="1"/>
  <c r="P4" i="32" s="1"/>
  <c r="C5" i="7"/>
  <c r="AS6" i="7"/>
  <c r="AS6" i="25" s="1"/>
  <c r="AJ3" i="32" s="1"/>
  <c r="AL10" i="7"/>
  <c r="AL10" i="25" s="1"/>
  <c r="AC7" i="32" s="1"/>
  <c r="AS8" i="7"/>
  <c r="AS8" i="25" s="1"/>
  <c r="AJ5" i="32" s="1"/>
  <c r="V10" i="7"/>
  <c r="V10" i="25" s="1"/>
  <c r="M7" i="32" s="1"/>
  <c r="AD7" i="7"/>
  <c r="AD7" i="25" s="1"/>
  <c r="U4" i="32" s="1"/>
  <c r="M7" i="7"/>
  <c r="M7" i="25" s="1"/>
  <c r="D4" i="32" s="1"/>
  <c r="AN41" i="7"/>
  <c r="AN41" i="25" s="1"/>
  <c r="AE2" i="39" s="1"/>
  <c r="AD46" i="7"/>
  <c r="AD46" i="25" s="1"/>
  <c r="U7" i="39" s="1"/>
  <c r="AR42" i="7"/>
  <c r="AC43" i="7"/>
  <c r="AC43" i="25" s="1"/>
  <c r="T4" i="39" s="1"/>
  <c r="AD44" i="7"/>
  <c r="AD44" i="25" s="1"/>
  <c r="U5" i="39" s="1"/>
  <c r="AU45" i="7"/>
  <c r="AU45" i="25" s="1"/>
  <c r="AL6" i="39" s="1"/>
  <c r="AJ45" i="7"/>
  <c r="AJ45" i="25" s="1"/>
  <c r="AA6" i="39" s="1"/>
  <c r="I44" i="7"/>
  <c r="I44" i="25" s="1"/>
  <c r="AI46" i="7"/>
  <c r="AI46" i="25" s="1"/>
  <c r="Z7" i="39" s="1"/>
  <c r="D46" i="7"/>
  <c r="D46" i="25" s="1"/>
  <c r="H42" i="7"/>
  <c r="H42" i="25" s="1"/>
  <c r="D43" i="7"/>
  <c r="D43" i="25" s="1"/>
  <c r="AT43" i="7"/>
  <c r="AT43" i="25" s="1"/>
  <c r="AK4" i="39" s="1"/>
  <c r="V43" i="7"/>
  <c r="V43" i="25" s="1"/>
  <c r="M4" i="39" s="1"/>
  <c r="AU43" i="7"/>
  <c r="AU52" i="7" s="1"/>
  <c r="AD42" i="7"/>
  <c r="AD42" i="25" s="1"/>
  <c r="U3" i="39" s="1"/>
  <c r="AA41" i="7"/>
  <c r="AA50" i="7" s="1"/>
  <c r="E45" i="7"/>
  <c r="E45" i="25" s="1"/>
  <c r="H41" i="7"/>
  <c r="H41" i="25" s="1"/>
  <c r="P45" i="7"/>
  <c r="P45" i="25" s="1"/>
  <c r="G6" i="39" s="1"/>
  <c r="AO44" i="7"/>
  <c r="M45" i="7"/>
  <c r="M45" i="25" s="1"/>
  <c r="D6" i="39" s="1"/>
  <c r="AP44" i="7"/>
  <c r="AP44" i="25" s="1"/>
  <c r="AG5" i="39" s="1"/>
  <c r="R44" i="7"/>
  <c r="R44" i="25" s="1"/>
  <c r="I5" i="39" s="1"/>
  <c r="E43" i="7"/>
  <c r="E43" i="25" s="1"/>
  <c r="Y41" i="7"/>
  <c r="Y41" i="25" s="1"/>
  <c r="P2" i="39" s="1"/>
  <c r="U43" i="7"/>
  <c r="U43" i="25" s="1"/>
  <c r="L4" i="39" s="1"/>
  <c r="Q41" i="7"/>
  <c r="Q41" i="25" s="1"/>
  <c r="H2" i="39" s="1"/>
  <c r="AR41" i="7"/>
  <c r="AR41" i="25" s="1"/>
  <c r="AI2" i="39" s="1"/>
  <c r="R45" i="7"/>
  <c r="R45" i="25" s="1"/>
  <c r="I6" i="39" s="1"/>
  <c r="AE43" i="7"/>
  <c r="AE43" i="25" s="1"/>
  <c r="V4" i="39" s="1"/>
  <c r="K44" i="7"/>
  <c r="K44" i="25" s="1"/>
  <c r="B5" i="39" s="1"/>
  <c r="E42" i="7"/>
  <c r="E42" i="25" s="1"/>
  <c r="O41" i="7"/>
  <c r="O41" i="25" s="1"/>
  <c r="F2" i="39" s="1"/>
  <c r="AF45" i="7"/>
  <c r="AF45" i="25" s="1"/>
  <c r="W6" i="39" s="1"/>
  <c r="X44" i="7"/>
  <c r="X44" i="25" s="1"/>
  <c r="O5" i="39" s="1"/>
  <c r="AH41" i="7"/>
  <c r="H44" i="7"/>
  <c r="V46" i="7"/>
  <c r="V46" i="25" s="1"/>
  <c r="M7" i="39" s="1"/>
  <c r="AI43" i="7"/>
  <c r="AI43" i="25" s="1"/>
  <c r="Z4" i="39" s="1"/>
  <c r="I42" i="7"/>
  <c r="I42" i="25" s="1"/>
  <c r="AE42" i="7"/>
  <c r="AP41" i="7"/>
  <c r="O42" i="7"/>
  <c r="O42" i="25" s="1"/>
  <c r="F3" i="39" s="1"/>
  <c r="AM41" i="7"/>
  <c r="AM41" i="25" s="1"/>
  <c r="AD2" i="39" s="1"/>
  <c r="AG43" i="7"/>
  <c r="AG43" i="25" s="1"/>
  <c r="X4" i="39" s="1"/>
  <c r="W41" i="7"/>
  <c r="W41" i="25" s="1"/>
  <c r="N2" i="39" s="1"/>
  <c r="E46" i="7"/>
  <c r="S43" i="7"/>
  <c r="S43" i="25" s="1"/>
  <c r="J4" i="39" s="1"/>
  <c r="I41" i="7"/>
  <c r="I41" i="25" s="1"/>
  <c r="AE41" i="7"/>
  <c r="AE41" i="25" s="1"/>
  <c r="V2" i="39" s="1"/>
  <c r="N42" i="7"/>
  <c r="N42" i="25" s="1"/>
  <c r="E3" i="39" s="1"/>
  <c r="AS43" i="7"/>
  <c r="AS43" i="25" s="1"/>
  <c r="AJ4" i="39" s="1"/>
  <c r="X41" i="7"/>
  <c r="X41" i="25" s="1"/>
  <c r="O2" i="39" s="1"/>
  <c r="AB44" i="7"/>
  <c r="AB44" i="25" s="1"/>
  <c r="S5" i="39" s="1"/>
  <c r="AD45" i="7"/>
  <c r="AD45" i="25" s="1"/>
  <c r="U6" i="39" s="1"/>
  <c r="L46" i="7"/>
  <c r="L46" i="25" s="1"/>
  <c r="C7" i="39" s="1"/>
  <c r="M41" i="7"/>
  <c r="M41" i="25" s="1"/>
  <c r="D2" i="39" s="1"/>
  <c r="D45" i="7"/>
  <c r="D45" i="25" s="1"/>
  <c r="T43" i="7"/>
  <c r="T43" i="25" s="1"/>
  <c r="K4" i="39" s="1"/>
  <c r="AL46" i="7"/>
  <c r="AL46" i="25" s="1"/>
  <c r="AC7" i="39" s="1"/>
  <c r="AG42" i="7"/>
  <c r="AG42" i="25" s="1"/>
  <c r="X3" i="39" s="1"/>
  <c r="AR45" i="7"/>
  <c r="AR45" i="25" s="1"/>
  <c r="AI6" i="39" s="1"/>
  <c r="AU42" i="7"/>
  <c r="AU42" i="25" s="1"/>
  <c r="AL3" i="39" s="1"/>
  <c r="AU46" i="7"/>
  <c r="AU46" i="25" s="1"/>
  <c r="AL7" i="39" s="1"/>
  <c r="AT42" i="7"/>
  <c r="AT42" i="25" s="1"/>
  <c r="AK3" i="39" s="1"/>
  <c r="AL41" i="7"/>
  <c r="AL41" i="25" s="1"/>
  <c r="AC2" i="39" s="1"/>
  <c r="Z41" i="7"/>
  <c r="Z41" i="25" s="1"/>
  <c r="Q2" i="39" s="1"/>
  <c r="AE33" i="25"/>
  <c r="V3" i="38" s="1"/>
  <c r="X32" i="25"/>
  <c r="O2" i="38" s="1"/>
  <c r="S32" i="25"/>
  <c r="J2" i="38" s="1"/>
  <c r="M34" i="25"/>
  <c r="D4" i="38" s="1"/>
  <c r="O32" i="25"/>
  <c r="F2" i="38" s="1"/>
  <c r="M36" i="25"/>
  <c r="D6" i="38" s="1"/>
  <c r="AG33" i="25"/>
  <c r="X3" i="38" s="1"/>
  <c r="K35" i="25"/>
  <c r="B5" i="38" s="1"/>
  <c r="AN35" i="25"/>
  <c r="AE5" i="38" s="1"/>
  <c r="AM35" i="25"/>
  <c r="AD5" i="38" s="1"/>
  <c r="AO34" i="25"/>
  <c r="AF4" i="38" s="1"/>
  <c r="C36" i="25"/>
  <c r="AA32" i="25"/>
  <c r="R2" i="38" s="1"/>
  <c r="O37" i="25"/>
  <c r="F7" i="38" s="1"/>
  <c r="AK32" i="25"/>
  <c r="AB2" i="38" s="1"/>
  <c r="X37" i="25"/>
  <c r="O7" i="38" s="1"/>
  <c r="O5" i="25"/>
  <c r="F34" i="25"/>
  <c r="R9" i="25"/>
  <c r="I6" i="32" s="1"/>
  <c r="C35" i="25"/>
  <c r="E34" i="25"/>
  <c r="I37" i="25"/>
  <c r="V32" i="25"/>
  <c r="M2" i="38" s="1"/>
  <c r="Y33" i="25"/>
  <c r="P3" i="38" s="1"/>
  <c r="S34" i="25"/>
  <c r="J4" i="38" s="1"/>
  <c r="AB33" i="25"/>
  <c r="S3" i="38" s="1"/>
  <c r="AL32" i="25"/>
  <c r="AC2" i="38" s="1"/>
  <c r="AI35" i="25"/>
  <c r="Z5" i="38" s="1"/>
  <c r="Q36" i="25"/>
  <c r="H6" i="38" s="1"/>
  <c r="D7" i="25"/>
  <c r="AI5" i="25"/>
  <c r="AM9" i="25"/>
  <c r="AD6" i="32" s="1"/>
  <c r="AO36" i="25"/>
  <c r="AF6" i="38" s="1"/>
  <c r="AD35" i="25"/>
  <c r="U5" i="38" s="1"/>
  <c r="P35" i="25"/>
  <c r="G5" i="38" s="1"/>
  <c r="N35" i="25"/>
  <c r="E5" i="38" s="1"/>
  <c r="J8" i="25"/>
  <c r="Z35" i="25"/>
  <c r="Q5" i="38" s="1"/>
  <c r="D36" i="25"/>
  <c r="I36" i="25"/>
  <c r="AE10" i="25"/>
  <c r="V7" i="32" s="1"/>
  <c r="AI10" i="25"/>
  <c r="Z7" i="32" s="1"/>
  <c r="AQ7" i="25"/>
  <c r="AH4" i="32" s="1"/>
  <c r="T10" i="25"/>
  <c r="K7" i="32" s="1"/>
  <c r="P36" i="25"/>
  <c r="G6" i="38" s="1"/>
  <c r="N6" i="25"/>
  <c r="E3" i="32" s="1"/>
  <c r="I6" i="25"/>
  <c r="T7" i="25"/>
  <c r="K4" i="32" s="1"/>
  <c r="H8" i="25"/>
  <c r="Y9" i="25"/>
  <c r="P6" i="32" s="1"/>
  <c r="L10" i="25"/>
  <c r="C7" i="32" s="1"/>
  <c r="AI32" i="25"/>
  <c r="Z2" i="38" s="1"/>
  <c r="AI34" i="25"/>
  <c r="Z4" i="38" s="1"/>
  <c r="AM32" i="25"/>
  <c r="AD2" i="38" s="1"/>
  <c r="AI33" i="25"/>
  <c r="Z3" i="38" s="1"/>
  <c r="AO9" i="25"/>
  <c r="AF6" i="32" s="1"/>
  <c r="AS9" i="25"/>
  <c r="AJ6" i="32" s="1"/>
  <c r="AI6" i="25"/>
  <c r="Z3" i="32" s="1"/>
  <c r="E5" i="25"/>
  <c r="X6" i="25"/>
  <c r="O3" i="32" s="1"/>
  <c r="K36" i="25"/>
  <c r="B6" i="38" s="1"/>
  <c r="AP5" i="25"/>
  <c r="AG32" i="25"/>
  <c r="X2" i="38" s="1"/>
  <c r="P42" i="25"/>
  <c r="G3" i="39" s="1"/>
  <c r="Q42" i="25"/>
  <c r="H3" i="39" s="1"/>
  <c r="L45" i="25"/>
  <c r="C6" i="39" s="1"/>
  <c r="Z42" i="25"/>
  <c r="Q3" i="39" s="1"/>
  <c r="U9" i="25"/>
  <c r="L6" i="32" s="1"/>
  <c r="Y10" i="25"/>
  <c r="P7" i="32" s="1"/>
  <c r="AM37" i="25"/>
  <c r="AD7" i="38" s="1"/>
  <c r="Y32" i="25"/>
  <c r="P2" i="38" s="1"/>
  <c r="X7" i="25"/>
  <c r="O4" i="32" s="1"/>
  <c r="AR6" i="25"/>
  <c r="AI3" i="32" s="1"/>
  <c r="D6" i="25"/>
  <c r="C9" i="25"/>
  <c r="AR35" i="25"/>
  <c r="AI5" i="38" s="1"/>
  <c r="AH32" i="25"/>
  <c r="Y2" i="38" s="1"/>
  <c r="AR10" i="25"/>
  <c r="AI7" i="32" s="1"/>
  <c r="W8" i="25"/>
  <c r="N5" i="32" s="1"/>
  <c r="H6" i="25"/>
  <c r="AF8" i="25"/>
  <c r="W5" i="32" s="1"/>
  <c r="AF10" i="25"/>
  <c r="W7" i="32" s="1"/>
  <c r="AT8" i="25"/>
  <c r="AK5" i="32" s="1"/>
  <c r="AG34" i="25"/>
  <c r="X4" i="38" s="1"/>
  <c r="AT6" i="25"/>
  <c r="AK3" i="32" s="1"/>
  <c r="X9" i="25"/>
  <c r="O6" i="32" s="1"/>
  <c r="H45" i="25"/>
  <c r="K46" i="25"/>
  <c r="B7" i="39" s="1"/>
  <c r="F35" i="25"/>
  <c r="L7" i="25"/>
  <c r="C4" i="32" s="1"/>
  <c r="AH9" i="25"/>
  <c r="Y6" i="32" s="1"/>
  <c r="AH10" i="25"/>
  <c r="Y7" i="32" s="1"/>
  <c r="M10" i="25"/>
  <c r="D7" i="32" s="1"/>
  <c r="AA8" i="25"/>
  <c r="R5" i="32" s="1"/>
  <c r="AM33" i="25"/>
  <c r="AD3" i="38" s="1"/>
  <c r="K6" i="25"/>
  <c r="B3" i="32" s="1"/>
  <c r="AM10" i="25"/>
  <c r="AD7" i="32" s="1"/>
  <c r="AO7" i="25"/>
  <c r="AF4" i="32" s="1"/>
  <c r="AO8" i="25"/>
  <c r="AF5" i="32" s="1"/>
  <c r="AD10" i="25"/>
  <c r="U7" i="32" s="1"/>
  <c r="AM7" i="25"/>
  <c r="AD4" i="32" s="1"/>
  <c r="AH7" i="25"/>
  <c r="Y4" i="32" s="1"/>
  <c r="D5" i="25"/>
  <c r="AJ5" i="25"/>
  <c r="AK6" i="25"/>
  <c r="AB3" i="32" s="1"/>
  <c r="AF9" i="25"/>
  <c r="W6" i="32" s="1"/>
  <c r="Y6" i="25"/>
  <c r="P3" i="32" s="1"/>
  <c r="K7" i="25"/>
  <c r="B4" i="32" s="1"/>
  <c r="R5" i="25"/>
  <c r="G8" i="25"/>
  <c r="AP33" i="25"/>
  <c r="AG3" i="38" s="1"/>
  <c r="AN5" i="25"/>
  <c r="AE6" i="25"/>
  <c r="V3" i="32" s="1"/>
  <c r="AQ45" i="25"/>
  <c r="AH6" i="39" s="1"/>
  <c r="N41" i="25"/>
  <c r="E2" i="39" s="1"/>
  <c r="N46" i="25"/>
  <c r="E7" i="39" s="1"/>
  <c r="AN52" i="7"/>
  <c r="AR33" i="25"/>
  <c r="AI3" i="38" s="1"/>
  <c r="AB32" i="25"/>
  <c r="S2" i="38" s="1"/>
  <c r="S33" i="25"/>
  <c r="J3" i="38" s="1"/>
  <c r="AH35" i="25"/>
  <c r="Y5" i="38" s="1"/>
  <c r="AB36" i="25"/>
  <c r="S6" i="38" s="1"/>
  <c r="AK51" i="7"/>
  <c r="AS37" i="25"/>
  <c r="AJ7" i="38" s="1"/>
  <c r="T32" i="25"/>
  <c r="K2" i="38" s="1"/>
  <c r="N37" i="25"/>
  <c r="E7" i="38" s="1"/>
  <c r="C37" i="25"/>
  <c r="F33" i="25"/>
  <c r="G35" i="25"/>
  <c r="N32" i="25"/>
  <c r="E2" i="38" s="1"/>
  <c r="AK33" i="25"/>
  <c r="AB3" i="38" s="1"/>
  <c r="Q32" i="25"/>
  <c r="H2" i="38" s="1"/>
  <c r="AQ33" i="25"/>
  <c r="AH3" i="38" s="1"/>
  <c r="V36" i="25"/>
  <c r="M6" i="38" s="1"/>
  <c r="AI36" i="25"/>
  <c r="Z6" i="38" s="1"/>
  <c r="AH34" i="25"/>
  <c r="Y4" i="38" s="1"/>
  <c r="V33" i="25"/>
  <c r="M3" i="38" s="1"/>
  <c r="AJ37" i="25"/>
  <c r="AA7" i="38" s="1"/>
  <c r="AS32" i="25"/>
  <c r="AJ2" i="38" s="1"/>
  <c r="AH36" i="25"/>
  <c r="Y6" i="38" s="1"/>
  <c r="E35" i="25"/>
  <c r="AC35" i="25"/>
  <c r="T5" i="38" s="1"/>
  <c r="AA36" i="25"/>
  <c r="R6" i="38" s="1"/>
  <c r="J36" i="25"/>
  <c r="AM36" i="25"/>
  <c r="AD6" i="38" s="1"/>
  <c r="AH33" i="25"/>
  <c r="Y3" i="38" s="1"/>
  <c r="AM53" i="7"/>
  <c r="K33" i="25"/>
  <c r="B3" i="38" s="1"/>
  <c r="AQ36" i="25"/>
  <c r="AH6" i="38" s="1"/>
  <c r="Z37" i="25"/>
  <c r="Q7" i="38" s="1"/>
  <c r="I33" i="25"/>
  <c r="AT35" i="25"/>
  <c r="AK5" i="38" s="1"/>
  <c r="I32" i="25"/>
  <c r="T33" i="25"/>
  <c r="K3" i="38" s="1"/>
  <c r="U32" i="25"/>
  <c r="L2" i="38" s="1"/>
  <c r="H35" i="25"/>
  <c r="G32" i="25"/>
  <c r="AT36" i="25"/>
  <c r="AK6" i="38" s="1"/>
  <c r="AF33" i="25"/>
  <c r="W3" i="38" s="1"/>
  <c r="AS36" i="25"/>
  <c r="AJ6" i="38" s="1"/>
  <c r="AD37" i="25"/>
  <c r="U7" i="38" s="1"/>
  <c r="D32" i="25"/>
  <c r="O35" i="25"/>
  <c r="F5" i="38" s="1"/>
  <c r="AJ34" i="25"/>
  <c r="AA4" i="38" s="1"/>
  <c r="C32" i="25"/>
  <c r="AR36" i="25"/>
  <c r="AI6" i="38" s="1"/>
  <c r="AC34" i="25"/>
  <c r="T4" i="38" s="1"/>
  <c r="J37" i="25"/>
  <c r="O33" i="25"/>
  <c r="F3" i="38" s="1"/>
  <c r="R32" i="25"/>
  <c r="I2" i="38" s="1"/>
  <c r="J33" i="25"/>
  <c r="K37" i="25"/>
  <c r="B7" i="38" s="1"/>
  <c r="AE32" i="25"/>
  <c r="V2" i="38" s="1"/>
  <c r="AN34" i="25"/>
  <c r="AE4" i="38" s="1"/>
  <c r="D34" i="25"/>
  <c r="AP32" i="25"/>
  <c r="AG2" i="38" s="1"/>
  <c r="AT53" i="7"/>
  <c r="AE37" i="25"/>
  <c r="V7" i="38" s="1"/>
  <c r="Q34" i="25"/>
  <c r="H4" i="38" s="1"/>
  <c r="AO35" i="25"/>
  <c r="AF5" i="38" s="1"/>
  <c r="AP37" i="25"/>
  <c r="AG7" i="38" s="1"/>
  <c r="AS34" i="25"/>
  <c r="AJ4" i="38" s="1"/>
  <c r="T36" i="25"/>
  <c r="K6" i="38" s="1"/>
  <c r="AD34" i="25"/>
  <c r="U4" i="38" s="1"/>
  <c r="U33" i="25"/>
  <c r="L3" i="38" s="1"/>
  <c r="C7" i="25"/>
  <c r="R35" i="25"/>
  <c r="I5" i="38" s="1"/>
  <c r="AD32" i="25"/>
  <c r="U2" i="38" s="1"/>
  <c r="AU33" i="25"/>
  <c r="AL3" i="38" s="1"/>
  <c r="O36" i="25"/>
  <c r="F6" i="38" s="1"/>
  <c r="W34" i="25"/>
  <c r="N4" i="38" s="1"/>
  <c r="AQ35" i="25"/>
  <c r="AH5" i="38" s="1"/>
  <c r="Y44" i="25"/>
  <c r="P5" i="39" s="1"/>
  <c r="R50" i="7"/>
  <c r="AK36" i="25"/>
  <c r="AB6" i="38" s="1"/>
  <c r="AS33" i="25"/>
  <c r="AJ3" i="38" s="1"/>
  <c r="K32" i="25"/>
  <c r="B2" i="38" s="1"/>
  <c r="AA35" i="25"/>
  <c r="R5" i="38" s="1"/>
  <c r="D35" i="25"/>
  <c r="AU34" i="25"/>
  <c r="AL4" i="38" s="1"/>
  <c r="W35" i="25"/>
  <c r="N5" i="38" s="1"/>
  <c r="AA37" i="25"/>
  <c r="R7" i="38" s="1"/>
  <c r="AF34" i="25"/>
  <c r="W4" i="38" s="1"/>
  <c r="P34" i="25"/>
  <c r="G4" i="38" s="1"/>
  <c r="AA33" i="25"/>
  <c r="R3" i="38" s="1"/>
  <c r="V35" i="25"/>
  <c r="M5" i="38" s="1"/>
  <c r="M32" i="25"/>
  <c r="D2" i="38" s="1"/>
  <c r="J54" i="7"/>
  <c r="J45" i="25"/>
  <c r="AF52" i="7"/>
  <c r="U35" i="25"/>
  <c r="L5" i="38" s="1"/>
  <c r="L35" i="25"/>
  <c r="C5" i="38" s="1"/>
  <c r="AP52" i="7"/>
  <c r="AF44" i="25"/>
  <c r="W5" i="39" s="1"/>
  <c r="U45" i="25"/>
  <c r="L6" i="39" s="1"/>
  <c r="AF53" i="7"/>
  <c r="AQ52" i="7"/>
  <c r="Y53" i="7"/>
  <c r="AJ8" i="25"/>
  <c r="AA5" i="32" s="1"/>
  <c r="Z10" i="25"/>
  <c r="Q7" i="32" s="1"/>
  <c r="AU35" i="25"/>
  <c r="AL5" i="38" s="1"/>
  <c r="AR8" i="25"/>
  <c r="AI5" i="32" s="1"/>
  <c r="I9" i="25"/>
  <c r="W7" i="25"/>
  <c r="N4" i="32" s="1"/>
  <c r="D8" i="25"/>
  <c r="AU6" i="25"/>
  <c r="AL3" i="32" s="1"/>
  <c r="O6" i="25"/>
  <c r="F3" i="32" s="1"/>
  <c r="AJ35" i="25"/>
  <c r="AA5" i="38" s="1"/>
  <c r="D37" i="25"/>
  <c r="AG36" i="25"/>
  <c r="X6" i="38" s="1"/>
  <c r="AL34" i="25"/>
  <c r="AC4" i="38" s="1"/>
  <c r="E37" i="25"/>
  <c r="V37" i="25"/>
  <c r="M7" i="38" s="1"/>
  <c r="AC7" i="25"/>
  <c r="T4" i="32" s="1"/>
  <c r="AE9" i="25"/>
  <c r="V6" i="32" s="1"/>
  <c r="X34" i="25"/>
  <c r="O4" i="38" s="1"/>
  <c r="M35" i="25"/>
  <c r="D5" i="38" s="1"/>
  <c r="Y35" i="25"/>
  <c r="P5" i="38" s="1"/>
  <c r="AF50" i="7"/>
  <c r="AF41" i="25"/>
  <c r="W2" i="39" s="1"/>
  <c r="AR43" i="25"/>
  <c r="AI4" i="39" s="1"/>
  <c r="AE45" i="25"/>
  <c r="V6" i="39" s="1"/>
  <c r="AJ43" i="25"/>
  <c r="AA4" i="39" s="1"/>
  <c r="AN9" i="25"/>
  <c r="AE6" i="32" s="1"/>
  <c r="W33" i="25"/>
  <c r="N3" i="38" s="1"/>
  <c r="I34" i="25"/>
  <c r="W32" i="25"/>
  <c r="N2" i="38" s="1"/>
  <c r="AQ43" i="25"/>
  <c r="AH4" i="39" s="1"/>
  <c r="I45" i="25"/>
  <c r="AA43" i="25"/>
  <c r="R4" i="39" s="1"/>
  <c r="M43" i="25"/>
  <c r="D4" i="39" s="1"/>
  <c r="AM45" i="25"/>
  <c r="AD6" i="39" s="1"/>
  <c r="C45" i="25"/>
  <c r="Q43" i="25"/>
  <c r="H4" i="39" s="1"/>
  <c r="J44" i="25"/>
  <c r="J53" i="7"/>
  <c r="AA42" i="25"/>
  <c r="R3" i="39" s="1"/>
  <c r="AN43" i="25"/>
  <c r="AE4" i="39" s="1"/>
  <c r="M42" i="25"/>
  <c r="D3" i="39" s="1"/>
  <c r="T46" i="25"/>
  <c r="K7" i="39" s="1"/>
  <c r="Z44" i="25"/>
  <c r="Q5" i="39" s="1"/>
  <c r="W45" i="25"/>
  <c r="N6" i="39" s="1"/>
  <c r="S42" i="25"/>
  <c r="J3" i="39" s="1"/>
  <c r="U46" i="25"/>
  <c r="L7" i="39" s="1"/>
  <c r="AP42" i="25"/>
  <c r="AG3" i="39" s="1"/>
  <c r="F42" i="25"/>
  <c r="AS42" i="25"/>
  <c r="AJ3" i="39" s="1"/>
  <c r="W46" i="25"/>
  <c r="N7" i="39" s="1"/>
  <c r="N44" i="25"/>
  <c r="E5" i="39" s="1"/>
  <c r="W42" i="25"/>
  <c r="N3" i="39" s="1"/>
  <c r="N36" i="25"/>
  <c r="E6" i="38" s="1"/>
  <c r="AJ36" i="25"/>
  <c r="AA6" i="38" s="1"/>
  <c r="AT34" i="25"/>
  <c r="AK4" i="38" s="1"/>
  <c r="M37" i="25"/>
  <c r="D7" i="38" s="1"/>
  <c r="H34" i="25"/>
  <c r="AB46" i="25"/>
  <c r="S7" i="39" s="1"/>
  <c r="X42" i="25"/>
  <c r="O3" i="39" s="1"/>
  <c r="AJ44" i="25"/>
  <c r="AA5" i="39" s="1"/>
  <c r="AJ53" i="7"/>
  <c r="K41" i="25"/>
  <c r="B2" i="39" s="1"/>
  <c r="AE44" i="25"/>
  <c r="V5" i="39" s="1"/>
  <c r="J41" i="25"/>
  <c r="S44" i="25"/>
  <c r="J5" i="39" s="1"/>
  <c r="V42" i="25"/>
  <c r="M3" i="39" s="1"/>
  <c r="AS41" i="25"/>
  <c r="AJ2" i="39" s="1"/>
  <c r="AC41" i="25"/>
  <c r="T2" i="39" s="1"/>
  <c r="K43" i="25"/>
  <c r="B4" i="39" s="1"/>
  <c r="R42" i="25"/>
  <c r="I3" i="39" s="1"/>
  <c r="AO45" i="25"/>
  <c r="AF6" i="39" s="1"/>
  <c r="AO54" i="7"/>
  <c r="W43" i="25"/>
  <c r="N4" i="39" s="1"/>
  <c r="V41" i="25"/>
  <c r="M2" i="39" s="1"/>
  <c r="Q46" i="25"/>
  <c r="H7" i="39" s="1"/>
  <c r="F51" i="7"/>
  <c r="T45" i="25"/>
  <c r="K6" i="39" s="1"/>
  <c r="T37" i="25"/>
  <c r="K7" i="38" s="1"/>
  <c r="P55" i="7"/>
  <c r="AP34" i="25"/>
  <c r="AG4" i="38" s="1"/>
  <c r="Z36" i="25"/>
  <c r="Q6" i="38" s="1"/>
  <c r="AD36" i="25"/>
  <c r="U6" i="38" s="1"/>
  <c r="AF32" i="25"/>
  <c r="W2" i="38" s="1"/>
  <c r="AC42" i="25"/>
  <c r="T3" i="39" s="1"/>
  <c r="AI44" i="25"/>
  <c r="Z5" i="39" s="1"/>
  <c r="U44" i="25"/>
  <c r="L5" i="39" s="1"/>
  <c r="AC45" i="25"/>
  <c r="T6" i="39" s="1"/>
  <c r="AK42" i="25"/>
  <c r="AB3" i="39" s="1"/>
  <c r="G43" i="25"/>
  <c r="AF43" i="25"/>
  <c r="W4" i="39" s="1"/>
  <c r="AH43" i="25"/>
  <c r="Y4" i="39" s="1"/>
  <c r="Y37" i="25"/>
  <c r="P7" i="38" s="1"/>
  <c r="AG55" i="7"/>
  <c r="AG37" i="25"/>
  <c r="X7" i="38" s="1"/>
  <c r="AQ32" i="25"/>
  <c r="AH2" i="38" s="1"/>
  <c r="AQ50" i="7"/>
  <c r="Z34" i="25"/>
  <c r="Q4" i="38" s="1"/>
  <c r="AM34" i="25"/>
  <c r="AD4" i="38" s="1"/>
  <c r="AC32" i="25"/>
  <c r="T2" i="38" s="1"/>
  <c r="AU37" i="25"/>
  <c r="AL7" i="38" s="1"/>
  <c r="AF36" i="25"/>
  <c r="W6" i="38" s="1"/>
  <c r="Z32" i="25"/>
  <c r="Q2" i="38" s="1"/>
  <c r="AQ37" i="25"/>
  <c r="AH7" i="38" s="1"/>
  <c r="I35" i="25"/>
  <c r="AB37" i="25"/>
  <c r="S7" i="38" s="1"/>
  <c r="AE36" i="25"/>
  <c r="V6" i="38" s="1"/>
  <c r="AS35" i="25"/>
  <c r="AJ5" i="38" s="1"/>
  <c r="AL37" i="25"/>
  <c r="AC7" i="38" s="1"/>
  <c r="AL36" i="25"/>
  <c r="AC6" i="38" s="1"/>
  <c r="T34" i="25"/>
  <c r="K4" i="38" s="1"/>
  <c r="AF37" i="25"/>
  <c r="W7" i="38" s="1"/>
  <c r="C34" i="25"/>
  <c r="Y34" i="25"/>
  <c r="P4" i="38" s="1"/>
  <c r="AK37" i="25"/>
  <c r="AB7" i="38" s="1"/>
  <c r="Q37" i="25"/>
  <c r="H7" i="38" s="1"/>
  <c r="AA34" i="25"/>
  <c r="R4" i="38" s="1"/>
  <c r="Z33" i="25"/>
  <c r="Q3" i="38" s="1"/>
  <c r="R33" i="25"/>
  <c r="I3" i="38" s="1"/>
  <c r="H33" i="25"/>
  <c r="G34" i="25"/>
  <c r="U34" i="25"/>
  <c r="L4" i="38" s="1"/>
  <c r="T35" i="25"/>
  <c r="K5" i="38" s="1"/>
  <c r="S35" i="25"/>
  <c r="J5" i="38" s="1"/>
  <c r="D33" i="25"/>
  <c r="AB35" i="25"/>
  <c r="S5" i="38" s="1"/>
  <c r="AK34" i="25"/>
  <c r="AB4" i="38" s="1"/>
  <c r="C52" i="7"/>
  <c r="AT33" i="25"/>
  <c r="AK3" i="38" s="1"/>
  <c r="S36" i="25"/>
  <c r="J6" i="38" s="1"/>
  <c r="AN32" i="25"/>
  <c r="AE2" i="38" s="1"/>
  <c r="AK45" i="25"/>
  <c r="AB6" i="39" s="1"/>
  <c r="S41" i="25"/>
  <c r="J2" i="39" s="1"/>
  <c r="Y45" i="25"/>
  <c r="P6" i="39" s="1"/>
  <c r="AO42" i="25"/>
  <c r="AF3" i="39" s="1"/>
  <c r="C43" i="25"/>
  <c r="AA45" i="25"/>
  <c r="R6" i="39" s="1"/>
  <c r="Z43" i="25"/>
  <c r="Q4" i="39" s="1"/>
  <c r="O44" i="25"/>
  <c r="F5" i="39" s="1"/>
  <c r="AO41" i="25"/>
  <c r="AF2" i="39" s="1"/>
  <c r="AK41" i="25"/>
  <c r="AB2" i="39" s="1"/>
  <c r="AF42" i="25"/>
  <c r="W3" i="39" s="1"/>
  <c r="H46" i="25"/>
  <c r="AG46" i="25"/>
  <c r="X7" i="39" s="1"/>
  <c r="AU44" i="25"/>
  <c r="AL5" i="39" s="1"/>
  <c r="D42" i="25"/>
  <c r="AJ46" i="25"/>
  <c r="AA7" i="39" s="1"/>
  <c r="AI41" i="25"/>
  <c r="Z2" i="39" s="1"/>
  <c r="AJ42" i="25"/>
  <c r="AA3" i="39" s="1"/>
  <c r="N43" i="25"/>
  <c r="E4" i="39" s="1"/>
  <c r="AB41" i="25"/>
  <c r="S2" i="39" s="1"/>
  <c r="AM42" i="25"/>
  <c r="AD3" i="39" s="1"/>
  <c r="R41" i="25"/>
  <c r="I2" i="39" s="1"/>
  <c r="R43" i="25"/>
  <c r="I4" i="39" s="1"/>
  <c r="AA44" i="25"/>
  <c r="R5" i="39" s="1"/>
  <c r="AT46" i="25"/>
  <c r="AK7" i="39" s="1"/>
  <c r="AS44" i="25"/>
  <c r="AJ5" i="39" s="1"/>
  <c r="P44" i="25"/>
  <c r="G5" i="39" s="1"/>
  <c r="T42" i="25"/>
  <c r="K3" i="39" s="1"/>
  <c r="AB43" i="25"/>
  <c r="S4" i="39" s="1"/>
  <c r="AA46" i="25"/>
  <c r="R7" i="39" s="1"/>
  <c r="AD43" i="25"/>
  <c r="U4" i="39" s="1"/>
  <c r="AN42" i="25"/>
  <c r="AE3" i="39" s="1"/>
  <c r="AO43" i="25"/>
  <c r="AF4" i="39" s="1"/>
  <c r="Z46" i="25"/>
  <c r="Q7" i="39" s="1"/>
  <c r="N45" i="25"/>
  <c r="E6" i="39" s="1"/>
  <c r="V44" i="25"/>
  <c r="M5" i="39" s="1"/>
  <c r="AG45" i="25"/>
  <c r="X6" i="39" s="1"/>
  <c r="AP45" i="25"/>
  <c r="AG6" i="39" s="1"/>
  <c r="L41" i="25"/>
  <c r="C2" i="39" s="1"/>
  <c r="M44" i="25"/>
  <c r="D5" i="39" s="1"/>
  <c r="AT44" i="25"/>
  <c r="AK5" i="39" s="1"/>
  <c r="AM44" i="25"/>
  <c r="AD5" i="39" s="1"/>
  <c r="C44" i="25"/>
  <c r="AR46" i="25"/>
  <c r="AI7" i="39" s="1"/>
  <c r="AN46" i="25"/>
  <c r="AE7" i="39" s="1"/>
  <c r="AC46" i="25"/>
  <c r="T7" i="39" s="1"/>
  <c r="C53" i="7"/>
  <c r="G55" i="7"/>
  <c r="L48" i="55" l="1"/>
  <c r="L49" i="55" s="1"/>
  <c r="L51" i="55" s="1"/>
  <c r="AE51" i="7"/>
  <c r="AS48" i="55"/>
  <c r="AS49" i="55" s="1"/>
  <c r="AS51" i="55" s="1"/>
  <c r="AB52" i="7"/>
  <c r="S53" i="7"/>
  <c r="Y55" i="7"/>
  <c r="AG48" i="55"/>
  <c r="AG49" i="55" s="1"/>
  <c r="AG51" i="55" s="1"/>
  <c r="AK48" i="55"/>
  <c r="AK49" i="55" s="1"/>
  <c r="AK51" i="55" s="1"/>
  <c r="AR52" i="7"/>
  <c r="AC52" i="7"/>
  <c r="AR50" i="7"/>
  <c r="AR53" i="7"/>
  <c r="AJ52" i="7"/>
  <c r="O54" i="7"/>
  <c r="Z51" i="7"/>
  <c r="AE54" i="7"/>
  <c r="AP50" i="7"/>
  <c r="AS50" i="7"/>
  <c r="N51" i="7"/>
  <c r="P54" i="7"/>
  <c r="AD52" i="7"/>
  <c r="AH52" i="7"/>
  <c r="Q55" i="7"/>
  <c r="V53" i="7"/>
  <c r="AU53" i="7"/>
  <c r="AU50" i="7"/>
  <c r="N52" i="7"/>
  <c r="G50" i="7"/>
  <c r="U55" i="7"/>
  <c r="AR51" i="7"/>
  <c r="P51" i="7"/>
  <c r="AC50" i="7"/>
  <c r="D52" i="7"/>
  <c r="U50" i="7"/>
  <c r="AA41" i="25"/>
  <c r="R2" i="39" s="1"/>
  <c r="AC55" i="7"/>
  <c r="U53" i="7"/>
  <c r="AM51" i="7"/>
  <c r="AR42" i="25"/>
  <c r="AI3" i="39" s="1"/>
  <c r="AL51" i="7"/>
  <c r="O45" i="25"/>
  <c r="F6" i="39" s="1"/>
  <c r="U52" i="7"/>
  <c r="AE50" i="7"/>
  <c r="Y50" i="7"/>
  <c r="AU43" i="25"/>
  <c r="AL4" i="39" s="1"/>
  <c r="AB53" i="7"/>
  <c r="AK52" i="7"/>
  <c r="I55" i="7"/>
  <c r="H51" i="7"/>
  <c r="AC51" i="7"/>
  <c r="AG50" i="7"/>
  <c r="AI51" i="7"/>
  <c r="E55" i="7"/>
  <c r="AH51" i="7"/>
  <c r="P53" i="7"/>
  <c r="O53" i="7"/>
  <c r="M51" i="7"/>
  <c r="S55" i="7"/>
  <c r="AO51" i="7"/>
  <c r="W51" i="7"/>
  <c r="U54" i="7"/>
  <c r="K52" i="7"/>
  <c r="AA52" i="7"/>
  <c r="X55" i="7"/>
  <c r="E46" i="25"/>
  <c r="E48" i="25" s="1"/>
  <c r="E49" i="25" s="1"/>
  <c r="E51" i="25" s="1"/>
  <c r="H50" i="7"/>
  <c r="W50" i="7"/>
  <c r="AI52" i="7"/>
  <c r="X50" i="7"/>
  <c r="T52" i="7"/>
  <c r="AP53" i="7"/>
  <c r="C55" i="7"/>
  <c r="AI53" i="7"/>
  <c r="I53" i="7"/>
  <c r="K53" i="7"/>
  <c r="AB55" i="7"/>
  <c r="AP41" i="25"/>
  <c r="AG2" i="39" s="1"/>
  <c r="L50" i="7"/>
  <c r="AL54" i="7"/>
  <c r="L55" i="7"/>
  <c r="M50" i="7"/>
  <c r="E51" i="7"/>
  <c r="Q53" i="7"/>
  <c r="T53" i="7"/>
  <c r="D53" i="7"/>
  <c r="AB51" i="7"/>
  <c r="Y52" i="7"/>
  <c r="AR54" i="7"/>
  <c r="O51" i="7"/>
  <c r="AF51" i="7"/>
  <c r="N50" i="7"/>
  <c r="S51" i="7"/>
  <c r="N53" i="7"/>
  <c r="R52" i="7"/>
  <c r="W55" i="7"/>
  <c r="D55" i="7"/>
  <c r="AE55" i="7"/>
  <c r="AJ55" i="7"/>
  <c r="AF55" i="7"/>
  <c r="F53" i="7"/>
  <c r="I54" i="7"/>
  <c r="AP55" i="7"/>
  <c r="G53" i="7"/>
  <c r="R51" i="7"/>
  <c r="AO55" i="7"/>
  <c r="I50" i="7"/>
  <c r="AT55" i="7"/>
  <c r="AO46" i="25"/>
  <c r="AF7" i="39" s="1"/>
  <c r="T54" i="7"/>
  <c r="Y51" i="7"/>
  <c r="Q51" i="7"/>
  <c r="AH50" i="7"/>
  <c r="J52" i="7"/>
  <c r="AC53" i="7"/>
  <c r="C51" i="7"/>
  <c r="V50" i="7"/>
  <c r="AF54" i="7"/>
  <c r="AK55" i="7"/>
  <c r="AO52" i="7"/>
  <c r="M53" i="7"/>
  <c r="Q50" i="7"/>
  <c r="AR55" i="7"/>
  <c r="K54" i="7"/>
  <c r="E52" i="7"/>
  <c r="AN55" i="7"/>
  <c r="L54" i="7"/>
  <c r="M55" i="7"/>
  <c r="J50" i="7"/>
  <c r="Z53" i="7"/>
  <c r="AU51" i="7"/>
  <c r="AL50" i="7"/>
  <c r="AA53" i="7"/>
  <c r="AM55" i="7"/>
  <c r="D54" i="7"/>
  <c r="AD54" i="7"/>
  <c r="F55" i="7"/>
  <c r="H53" i="7"/>
  <c r="AT52" i="7"/>
  <c r="AO53" i="7"/>
  <c r="AR44" i="25"/>
  <c r="AI5" i="39" s="1"/>
  <c r="H54" i="7"/>
  <c r="R53" i="7"/>
  <c r="J55" i="7"/>
  <c r="AQ54" i="7"/>
  <c r="AM52" i="7"/>
  <c r="H55" i="7"/>
  <c r="AD50" i="7"/>
  <c r="AG51" i="7"/>
  <c r="I2" i="32"/>
  <c r="R48" i="25"/>
  <c r="R49" i="25" s="1"/>
  <c r="R51" i="25" s="1"/>
  <c r="O2" i="32"/>
  <c r="X48" i="25"/>
  <c r="X49" i="25" s="1"/>
  <c r="X51" i="25" s="1"/>
  <c r="L2" i="32"/>
  <c r="U48" i="25"/>
  <c r="U49" i="25" s="1"/>
  <c r="U51" i="25" s="1"/>
  <c r="T2" i="32"/>
  <c r="K2" i="32"/>
  <c r="T48" i="25"/>
  <c r="T49" i="25" s="1"/>
  <c r="T51" i="25" s="1"/>
  <c r="AI2" i="32"/>
  <c r="I48" i="25"/>
  <c r="I49" i="25" s="1"/>
  <c r="I51" i="25" s="1"/>
  <c r="AC2" i="32"/>
  <c r="AL48" i="25"/>
  <c r="AL49" i="25" s="1"/>
  <c r="AL51" i="25" s="1"/>
  <c r="U2" i="32"/>
  <c r="AD48" i="25"/>
  <c r="AD49" i="25" s="1"/>
  <c r="AD51" i="25" s="1"/>
  <c r="V52" i="7"/>
  <c r="AH53" i="7"/>
  <c r="AS55" i="7"/>
  <c r="J48" i="25"/>
  <c r="J49" i="25" s="1"/>
  <c r="J51" i="25" s="1"/>
  <c r="Q54" i="7"/>
  <c r="G48" i="25"/>
  <c r="G49" i="25" s="1"/>
  <c r="G51" i="25" s="1"/>
  <c r="X2" i="32"/>
  <c r="AG48" i="25"/>
  <c r="AG49" i="25" s="1"/>
  <c r="AG51" i="25" s="1"/>
  <c r="Q2" i="32"/>
  <c r="Z48" i="25"/>
  <c r="Z49" i="25" s="1"/>
  <c r="Z51" i="25" s="1"/>
  <c r="AJ2" i="32"/>
  <c r="AS48" i="25"/>
  <c r="AS49" i="25" s="1"/>
  <c r="AS51" i="25" s="1"/>
  <c r="C2" i="32"/>
  <c r="L48" i="25"/>
  <c r="L49" i="25" s="1"/>
  <c r="L51" i="25" s="1"/>
  <c r="P2" i="32"/>
  <c r="Y48" i="25"/>
  <c r="Y49" i="25" s="1"/>
  <c r="Y51" i="25" s="1"/>
  <c r="Y2" i="32"/>
  <c r="R2" i="32"/>
  <c r="AH2" i="32"/>
  <c r="AQ48" i="25"/>
  <c r="AQ49" i="25" s="1"/>
  <c r="AQ51" i="25" s="1"/>
  <c r="N2" i="32"/>
  <c r="W48" i="25"/>
  <c r="W49" i="25" s="1"/>
  <c r="W51" i="25" s="1"/>
  <c r="AE2" i="32"/>
  <c r="AN48" i="25"/>
  <c r="AN49" i="25" s="1"/>
  <c r="AN51" i="25" s="1"/>
  <c r="V2" i="32"/>
  <c r="J2" i="32"/>
  <c r="S48" i="25"/>
  <c r="S49" i="25" s="1"/>
  <c r="S51" i="25" s="1"/>
  <c r="S2" i="32"/>
  <c r="AB48" i="25"/>
  <c r="AB49" i="25" s="1"/>
  <c r="AB51" i="25" s="1"/>
  <c r="B2" i="32"/>
  <c r="K48" i="25"/>
  <c r="K49" i="25" s="1"/>
  <c r="K51" i="25" s="1"/>
  <c r="D2" i="32"/>
  <c r="M48" i="25"/>
  <c r="M49" i="25" s="1"/>
  <c r="M51" i="25" s="1"/>
  <c r="G2" i="32"/>
  <c r="P48" i="25"/>
  <c r="P49" i="25" s="1"/>
  <c r="P51" i="25" s="1"/>
  <c r="Z50" i="7"/>
  <c r="X54" i="7"/>
  <c r="F2" i="32"/>
  <c r="I51" i="7"/>
  <c r="C5" i="25"/>
  <c r="C48" i="25" s="1"/>
  <c r="C49" i="25" s="1"/>
  <c r="C51" i="25" s="1"/>
  <c r="C50" i="7"/>
  <c r="AL53" i="7"/>
  <c r="AL2" i="32"/>
  <c r="H2" i="32"/>
  <c r="Q48" i="25"/>
  <c r="Q49" i="25" s="1"/>
  <c r="Q51" i="25" s="1"/>
  <c r="AB2" i="32"/>
  <c r="AK48" i="25"/>
  <c r="AK49" i="25" s="1"/>
  <c r="AK51" i="25" s="1"/>
  <c r="Z2" i="32"/>
  <c r="AI48" i="25"/>
  <c r="AI49" i="25" s="1"/>
  <c r="AI51" i="25" s="1"/>
  <c r="AK2" i="32"/>
  <c r="AT48" i="25"/>
  <c r="AT49" i="25" s="1"/>
  <c r="AT51" i="25" s="1"/>
  <c r="AD2" i="32"/>
  <c r="AM48" i="25"/>
  <c r="AM49" i="25" s="1"/>
  <c r="AM51" i="25" s="1"/>
  <c r="AG52" i="7"/>
  <c r="AA2" i="32"/>
  <c r="AJ48" i="25"/>
  <c r="AJ49" i="25" s="1"/>
  <c r="AJ51" i="25" s="1"/>
  <c r="D48" i="25"/>
  <c r="D49" i="25" s="1"/>
  <c r="D51" i="25" s="1"/>
  <c r="AG2" i="32"/>
  <c r="AT54" i="7"/>
  <c r="E2" i="32"/>
  <c r="N48" i="25"/>
  <c r="N49" i="25" s="1"/>
  <c r="N51" i="25" s="1"/>
  <c r="AF2" i="32"/>
  <c r="F48" i="25"/>
  <c r="F49" i="25" s="1"/>
  <c r="F51" i="25" s="1"/>
  <c r="M2" i="32"/>
  <c r="V48" i="25"/>
  <c r="V49" i="25" s="1"/>
  <c r="V51" i="25" s="1"/>
  <c r="W2" i="32"/>
  <c r="AF48" i="25"/>
  <c r="AF49" i="25" s="1"/>
  <c r="AF51" i="25" s="1"/>
  <c r="T50" i="7"/>
  <c r="X51" i="7"/>
  <c r="H44" i="25"/>
  <c r="H48" i="25" s="1"/>
  <c r="H49" i="25" s="1"/>
  <c r="H51" i="25" s="1"/>
  <c r="M54" i="7"/>
  <c r="AI55" i="7"/>
  <c r="AD51" i="7"/>
  <c r="X52" i="7"/>
  <c r="W52" i="7"/>
  <c r="E53" i="7"/>
  <c r="O50" i="7"/>
  <c r="X53" i="7"/>
  <c r="Q52" i="7"/>
  <c r="K51" i="7"/>
  <c r="W53" i="7"/>
  <c r="AP54" i="7"/>
  <c r="AN51" i="7"/>
  <c r="AC44" i="25"/>
  <c r="T5" i="39" s="1"/>
  <c r="AJ50" i="7"/>
  <c r="AH41" i="25"/>
  <c r="Y2" i="39" s="1"/>
  <c r="S54" i="7"/>
  <c r="AS52" i="7"/>
  <c r="S52" i="7"/>
  <c r="AM50" i="7"/>
  <c r="AE42" i="25"/>
  <c r="V3" i="39" s="1"/>
  <c r="AE52" i="7"/>
  <c r="R54" i="7"/>
  <c r="G52" i="7"/>
  <c r="W54" i="7"/>
  <c r="AQ55" i="7"/>
  <c r="E54" i="7"/>
  <c r="AU55" i="7"/>
  <c r="D51" i="7"/>
  <c r="G54" i="7"/>
  <c r="N54" i="7"/>
  <c r="P52" i="7"/>
  <c r="R55" i="7"/>
  <c r="V51" i="7"/>
  <c r="AE53" i="7"/>
  <c r="H52" i="7"/>
  <c r="C54" i="7"/>
  <c r="AJ51" i="7"/>
  <c r="AB50" i="7"/>
  <c r="F50" i="7"/>
  <c r="AA54" i="7"/>
  <c r="J51" i="7"/>
  <c r="L51" i="7"/>
  <c r="AN54" i="7"/>
  <c r="N55" i="7"/>
  <c r="I52" i="7"/>
  <c r="V55" i="7"/>
  <c r="AA51" i="7"/>
  <c r="E50" i="7"/>
  <c r="D50" i="7"/>
  <c r="F54" i="7"/>
  <c r="AD55" i="7"/>
  <c r="AU54" i="7"/>
  <c r="K50" i="7"/>
  <c r="AS51" i="7"/>
  <c r="AC54" i="7"/>
  <c r="AG54" i="7"/>
  <c r="AS53" i="7"/>
  <c r="Y54" i="7"/>
  <c r="O52" i="7"/>
  <c r="P50" i="7"/>
  <c r="AS54" i="7"/>
  <c r="G51" i="7"/>
  <c r="AQ51" i="7"/>
  <c r="AK54" i="7"/>
  <c r="V54" i="7"/>
  <c r="AT51" i="7"/>
  <c r="AL55" i="7"/>
  <c r="AN50" i="7"/>
  <c r="AO44" i="25"/>
  <c r="AF5" i="39" s="1"/>
  <c r="Z52" i="7"/>
  <c r="AA55" i="7"/>
  <c r="AK50" i="7"/>
  <c r="U51" i="7"/>
  <c r="AK53" i="7"/>
  <c r="AJ54" i="7"/>
  <c r="AP51" i="7"/>
  <c r="T55" i="7"/>
  <c r="S50" i="7"/>
  <c r="AM54" i="7"/>
  <c r="AN53" i="7"/>
  <c r="AD53" i="7"/>
  <c r="M52" i="7"/>
  <c r="AI50" i="7"/>
  <c r="Z55" i="7"/>
  <c r="AI54" i="7"/>
  <c r="AL52" i="7"/>
  <c r="AG53" i="7"/>
  <c r="AQ53" i="7"/>
  <c r="AB54" i="7"/>
  <c r="O55" i="7"/>
  <c r="F52" i="7"/>
  <c r="K55" i="7"/>
  <c r="AO50" i="7"/>
  <c r="AH54" i="7"/>
  <c r="Z54" i="7"/>
  <c r="L53" i="7"/>
  <c r="AH55" i="7"/>
  <c r="L52" i="7"/>
  <c r="AT50" i="7"/>
  <c r="T51" i="7"/>
  <c r="AA48" i="25" l="1"/>
  <c r="AA49" i="25" s="1"/>
  <c r="AA51" i="25" s="1"/>
  <c r="O48" i="25"/>
  <c r="O49" i="25" s="1"/>
  <c r="O51" i="25" s="1"/>
  <c r="AU48" i="25"/>
  <c r="AU49" i="25" s="1"/>
  <c r="AU51" i="25" s="1"/>
  <c r="AR48" i="25"/>
  <c r="AR49" i="25" s="1"/>
  <c r="AR51" i="25" s="1"/>
  <c r="AP48" i="25"/>
  <c r="AP49" i="25" s="1"/>
  <c r="AP51" i="25" s="1"/>
  <c r="AH48" i="25"/>
  <c r="AH49" i="25" s="1"/>
  <c r="AH51" i="25" s="1"/>
  <c r="AO48" i="25"/>
  <c r="AO49" i="25" s="1"/>
  <c r="AO51" i="25" s="1"/>
  <c r="AE48" i="25"/>
  <c r="AE49" i="25" s="1"/>
  <c r="AE51" i="25" s="1"/>
  <c r="AC48" i="25"/>
  <c r="AC49" i="25" s="1"/>
  <c r="AC51" i="25" s="1"/>
  <c r="C25" i="22" l="1"/>
  <c r="E25" i="22" s="1"/>
  <c r="AQ25" i="22"/>
  <c r="AG25" i="22"/>
  <c r="M25" i="22"/>
  <c r="O25" i="22" l="1"/>
  <c r="AI25" i="22"/>
  <c r="AS25" i="22"/>
  <c r="AA24" i="10"/>
  <c r="AB24" i="10"/>
  <c r="Y138" i="20" l="1"/>
  <c r="AE138" i="20" s="1"/>
  <c r="M26" i="22"/>
  <c r="AG26" i="22"/>
  <c r="AQ26" i="22"/>
  <c r="C26" i="22"/>
  <c r="N26" i="22"/>
  <c r="AR26" i="22"/>
  <c r="AH26" i="22"/>
  <c r="D26" i="22"/>
  <c r="AS26" i="22" l="1"/>
  <c r="AI26" i="22"/>
  <c r="E26" i="22"/>
  <c r="O26" i="22"/>
  <c r="AA25" i="10"/>
  <c r="Y139" i="20" s="1"/>
  <c r="AE139" i="20" s="1"/>
  <c r="AB25" i="10"/>
  <c r="AQ27" i="22" l="1"/>
  <c r="M27" i="22"/>
  <c r="AG27" i="22"/>
  <c r="C27" i="22"/>
  <c r="AH27" i="22"/>
  <c r="AR27" i="22"/>
  <c r="D27" i="22"/>
  <c r="N27" i="22"/>
  <c r="E27" i="22" l="1"/>
  <c r="O27" i="22"/>
  <c r="AI27" i="22"/>
  <c r="AS27" i="22"/>
  <c r="AA26" i="10"/>
  <c r="Y140" i="20" s="1"/>
  <c r="AE140" i="20" s="1"/>
  <c r="AB26" i="10"/>
  <c r="AG28" i="22" l="1"/>
  <c r="AQ28" i="22"/>
  <c r="M28" i="22"/>
  <c r="C28" i="22"/>
  <c r="AH28" i="22"/>
  <c r="N28" i="22"/>
  <c r="AR28" i="22"/>
  <c r="D28" i="22"/>
  <c r="E28" i="22" l="1"/>
  <c r="O28" i="22"/>
  <c r="AS28" i="22"/>
  <c r="AI28" i="22"/>
  <c r="Y141" i="20"/>
  <c r="AE141" i="20" s="1"/>
  <c r="AB27" i="10"/>
  <c r="AR29" i="22" l="1"/>
  <c r="AH29" i="22"/>
  <c r="D29" i="22"/>
  <c r="N29" i="22"/>
  <c r="AG29" i="22"/>
  <c r="M29" i="22"/>
  <c r="AQ29" i="22"/>
  <c r="C29" i="22"/>
  <c r="AS29" i="22" l="1"/>
  <c r="O29" i="22"/>
  <c r="AI29" i="22"/>
  <c r="AA28" i="10"/>
  <c r="Y142" i="20" s="1"/>
  <c r="AE142" i="20" s="1"/>
  <c r="AB28" i="10"/>
  <c r="E29" i="22"/>
  <c r="AG30" i="22" l="1"/>
  <c r="AQ30" i="22"/>
  <c r="C30" i="22"/>
  <c r="M30" i="22"/>
  <c r="N30" i="22"/>
  <c r="AH30" i="22"/>
  <c r="AR30" i="22"/>
  <c r="D30" i="22"/>
  <c r="E30" i="22" l="1"/>
  <c r="O30" i="22"/>
  <c r="AS30" i="22"/>
  <c r="AI30" i="22"/>
  <c r="AA29" i="10"/>
  <c r="AB29" i="10"/>
  <c r="Y143" i="20" l="1"/>
  <c r="AE143" i="20" s="1"/>
  <c r="AQ31" i="22"/>
  <c r="M31" i="22"/>
  <c r="AG31" i="22"/>
  <c r="C31" i="22"/>
  <c r="N31" i="22"/>
  <c r="AR31" i="22"/>
  <c r="AH31" i="22"/>
  <c r="D31" i="22"/>
  <c r="O31" i="22" l="1"/>
  <c r="AS31" i="22"/>
  <c r="AA30" i="10"/>
  <c r="AB30" i="10"/>
  <c r="E31" i="22"/>
  <c r="AI31" i="22"/>
  <c r="Y144" i="20" l="1"/>
  <c r="AE144" i="20" s="1"/>
  <c r="M32" i="22"/>
  <c r="AG32" i="22"/>
  <c r="AQ32" i="22"/>
  <c r="C32" i="22"/>
  <c r="N32" i="22"/>
  <c r="AR32" i="22"/>
  <c r="D32" i="22"/>
  <c r="AH32" i="22"/>
  <c r="E32" i="22" l="1"/>
  <c r="AI32" i="22"/>
  <c r="AS32" i="22"/>
  <c r="O32" i="22"/>
  <c r="AB31" i="10"/>
  <c r="AA31" i="10"/>
  <c r="Y145" i="20" s="1"/>
  <c r="AE145" i="20" s="1"/>
  <c r="AH33" i="22" l="1"/>
  <c r="N33" i="22"/>
  <c r="AR33" i="22"/>
  <c r="D33" i="22"/>
  <c r="M33" i="22"/>
  <c r="C33" i="22"/>
  <c r="AG33" i="22"/>
  <c r="AQ33" i="22"/>
  <c r="O33" i="22" l="1"/>
  <c r="AB32" i="10"/>
  <c r="AA32" i="10"/>
  <c r="Y146" i="20" s="1"/>
  <c r="AE146" i="20" s="1"/>
  <c r="AS33" i="22"/>
  <c r="AI33" i="22"/>
  <c r="E33" i="22"/>
  <c r="AH34" i="22" l="1"/>
  <c r="AR34" i="22"/>
  <c r="D34" i="22"/>
  <c r="N34" i="22"/>
  <c r="AQ34" i="22"/>
  <c r="AG34" i="22"/>
  <c r="M34" i="22"/>
  <c r="C34" i="22"/>
  <c r="O34" i="22" l="1"/>
  <c r="AI34" i="22"/>
  <c r="AS34" i="22"/>
  <c r="AA33" i="10"/>
  <c r="AB33" i="10"/>
  <c r="E34" i="22"/>
  <c r="Y147" i="20" l="1"/>
  <c r="AE147" i="20" s="1"/>
  <c r="AG35" i="22"/>
  <c r="AQ35" i="22"/>
  <c r="M35" i="22"/>
  <c r="C35" i="22"/>
  <c r="AH35" i="22"/>
  <c r="N35" i="22"/>
  <c r="AR35" i="22"/>
  <c r="D35" i="22"/>
  <c r="O35" i="22" l="1"/>
  <c r="E35" i="22"/>
  <c r="AS35" i="22"/>
  <c r="AI35" i="22"/>
  <c r="AB34" i="10"/>
  <c r="AA34" i="10"/>
  <c r="Y148" i="20" s="1"/>
  <c r="AE148" i="20" s="1"/>
  <c r="AH36" i="22" l="1"/>
  <c r="AR36" i="22"/>
  <c r="N36" i="22"/>
  <c r="D36" i="22"/>
  <c r="M36" i="22"/>
  <c r="AQ36" i="22"/>
  <c r="AG36" i="22"/>
  <c r="C36" i="22"/>
  <c r="AI36" i="22" l="1"/>
  <c r="AS36" i="22"/>
  <c r="O36" i="22"/>
  <c r="AA35" i="10"/>
  <c r="AB35" i="10"/>
  <c r="E36" i="22"/>
  <c r="Y149" i="20" l="1"/>
  <c r="AE149" i="20" s="1"/>
  <c r="AG37" i="22"/>
  <c r="AQ37" i="22"/>
  <c r="M37" i="22"/>
  <c r="C37" i="22"/>
  <c r="N37" i="22"/>
  <c r="AR37" i="22"/>
  <c r="AH37" i="22"/>
  <c r="D37" i="22"/>
  <c r="O37" i="22" l="1"/>
  <c r="E37" i="22"/>
  <c r="AS37" i="22"/>
  <c r="AI37" i="22"/>
  <c r="AA36" i="10"/>
  <c r="Y150" i="20" s="1"/>
  <c r="AE150" i="20" s="1"/>
  <c r="AB36" i="10"/>
  <c r="M38" i="22" l="1"/>
  <c r="AQ38" i="22"/>
  <c r="AG38" i="22"/>
  <c r="C38" i="22"/>
  <c r="AR38" i="22"/>
  <c r="N38" i="22"/>
  <c r="D38" i="22"/>
  <c r="AH38" i="22"/>
  <c r="AS38" i="22" l="1"/>
  <c r="E38" i="22"/>
  <c r="AI38" i="22"/>
  <c r="O38" i="22"/>
  <c r="AA37" i="10"/>
  <c r="AB37" i="10"/>
  <c r="Y151" i="20" l="1"/>
  <c r="AE151" i="20" s="1"/>
  <c r="M39" i="22"/>
  <c r="AQ39" i="22"/>
  <c r="C39" i="22"/>
  <c r="AG39" i="22"/>
  <c r="AR39" i="22"/>
  <c r="AH39" i="22"/>
  <c r="N39" i="22"/>
  <c r="D39" i="22"/>
  <c r="E39" i="22" l="1"/>
  <c r="AS39" i="22"/>
  <c r="O39" i="22"/>
  <c r="AA38" i="10"/>
  <c r="AB38" i="10"/>
  <c r="AI39" i="22"/>
  <c r="Y152" i="20" l="1"/>
  <c r="AE152" i="20" s="1"/>
  <c r="M40" i="22"/>
  <c r="AG40" i="22"/>
  <c r="AQ40" i="22"/>
  <c r="C40" i="22"/>
  <c r="AR40" i="22"/>
  <c r="N40" i="22"/>
  <c r="D40" i="22"/>
  <c r="AH40" i="22"/>
  <c r="AS40" i="22" l="1"/>
  <c r="AI40" i="22"/>
  <c r="O40" i="22"/>
  <c r="AA39" i="10"/>
  <c r="Y153" i="20" s="1"/>
  <c r="AE153" i="20" s="1"/>
  <c r="AB39" i="10"/>
  <c r="E40" i="22"/>
  <c r="M41" i="22" l="1"/>
  <c r="AQ41" i="22"/>
  <c r="AG41" i="22"/>
  <c r="C41" i="22"/>
  <c r="AR41" i="22"/>
  <c r="N41" i="22"/>
  <c r="AH41" i="22"/>
  <c r="D41" i="22"/>
  <c r="AI41" i="22" l="1"/>
  <c r="AA40" i="10"/>
  <c r="AB40" i="10"/>
  <c r="AS41" i="22"/>
  <c r="O41" i="22"/>
  <c r="E41" i="22"/>
  <c r="Y154" i="20" l="1"/>
  <c r="AE154" i="20" s="1"/>
  <c r="AR42" i="22"/>
  <c r="AH42" i="22"/>
  <c r="D42" i="22"/>
  <c r="N42" i="22"/>
  <c r="AG42" i="22"/>
  <c r="M42" i="22"/>
  <c r="AQ42" i="22"/>
  <c r="C42" i="22"/>
  <c r="E42" i="22" l="1"/>
  <c r="O42" i="22"/>
  <c r="AS42" i="22"/>
  <c r="AI42" i="22"/>
  <c r="AA41" i="10"/>
  <c r="AB41" i="10"/>
  <c r="Y155" i="20" l="1"/>
  <c r="AE155" i="20" s="1"/>
  <c r="N43" i="22"/>
  <c r="D43" i="22"/>
  <c r="AH43" i="22"/>
  <c r="AR43" i="22"/>
  <c r="M43" i="22"/>
  <c r="AQ43" i="22"/>
  <c r="AG43" i="22"/>
  <c r="C43" i="22"/>
  <c r="E43" i="22" l="1"/>
  <c r="AI43" i="22"/>
  <c r="AS43" i="22"/>
  <c r="O43" i="22"/>
  <c r="AB42" i="10"/>
  <c r="AA42" i="10"/>
  <c r="Y156" i="20" s="1"/>
  <c r="AE156" i="20" s="1"/>
  <c r="N44" i="22" l="1"/>
  <c r="D44" i="22"/>
  <c r="AR44" i="22"/>
  <c r="AH44" i="22"/>
  <c r="AQ44" i="22"/>
  <c r="AG44" i="22"/>
  <c r="M44" i="22"/>
  <c r="C44" i="22"/>
  <c r="AS44" i="22" l="1"/>
  <c r="AB43" i="10"/>
  <c r="AA43" i="10"/>
  <c r="Y157" i="20" s="1"/>
  <c r="AE157" i="20" s="1"/>
  <c r="E44" i="22"/>
  <c r="O44" i="22"/>
  <c r="AI44" i="22"/>
  <c r="AR45" i="22" l="1"/>
  <c r="N45" i="22"/>
  <c r="AH45" i="22"/>
  <c r="D45" i="22"/>
  <c r="AG45" i="22"/>
  <c r="M45" i="22"/>
  <c r="AQ45" i="22"/>
  <c r="C45" i="22"/>
  <c r="E45" i="22" l="1"/>
  <c r="AS45" i="22"/>
  <c r="O45" i="22"/>
  <c r="AI45" i="22"/>
  <c r="AB44" i="10"/>
  <c r="AA44" i="10"/>
  <c r="Y158" i="20" s="1"/>
  <c r="AE158" i="20" s="1"/>
  <c r="AQ46" i="22" l="1"/>
  <c r="AG46" i="22"/>
  <c r="M46" i="22"/>
  <c r="C46" i="22"/>
  <c r="N46" i="22"/>
  <c r="AR46" i="22"/>
  <c r="AH46" i="22"/>
  <c r="D46" i="22"/>
  <c r="E46" i="22" l="1"/>
  <c r="O46" i="22"/>
  <c r="AI46" i="22"/>
  <c r="AS46" i="22"/>
  <c r="AB45" i="10"/>
  <c r="AA45" i="10"/>
  <c r="Y159" i="20" s="1"/>
  <c r="AE159" i="20" s="1"/>
  <c r="AH47" i="22" l="1"/>
  <c r="N47" i="22"/>
  <c r="AR47" i="22"/>
  <c r="D47" i="22"/>
  <c r="AG47" i="22"/>
  <c r="M47" i="22"/>
  <c r="AQ47" i="22"/>
  <c r="C47" i="22"/>
  <c r="E47" i="22" l="1"/>
  <c r="AS47" i="22"/>
  <c r="AA46" i="10"/>
  <c r="Y160" i="20" s="1"/>
  <c r="AE160" i="20" s="1"/>
  <c r="AB46" i="10"/>
  <c r="O47" i="22"/>
  <c r="AI47" i="22"/>
  <c r="M48" i="22" l="1"/>
  <c r="C48" i="22"/>
  <c r="AQ48" i="22"/>
  <c r="AG48" i="22"/>
  <c r="AR48" i="22"/>
  <c r="N48" i="22"/>
  <c r="D48" i="22"/>
  <c r="AH48" i="22"/>
  <c r="AS48" i="22" l="1"/>
  <c r="AA47" i="10"/>
  <c r="AB47" i="10"/>
  <c r="E48" i="22"/>
  <c r="O48" i="22"/>
  <c r="AI48" i="22"/>
  <c r="Y161" i="20" l="1"/>
  <c r="AE161" i="20" s="1"/>
  <c r="N49" i="22"/>
  <c r="AR49" i="22"/>
  <c r="AH49" i="22"/>
  <c r="D49" i="22"/>
  <c r="AG49" i="22"/>
  <c r="C49" i="22"/>
  <c r="M49" i="22"/>
  <c r="AQ49" i="22"/>
  <c r="O49" i="22" l="1"/>
  <c r="AS49" i="22"/>
  <c r="E49" i="22"/>
  <c r="AI49" i="22"/>
  <c r="AA48" i="10"/>
  <c r="Y162" i="20" s="1"/>
  <c r="AE162" i="20" s="1"/>
  <c r="AB48" i="10"/>
  <c r="AG50" i="22" l="1"/>
  <c r="M50" i="22"/>
  <c r="C50" i="22"/>
  <c r="AQ50" i="22"/>
  <c r="AH50" i="22"/>
  <c r="AR50" i="22"/>
  <c r="N50" i="22"/>
  <c r="D50" i="22"/>
  <c r="AB49" i="10" l="1"/>
  <c r="AA49" i="10"/>
  <c r="Y163" i="20" s="1"/>
  <c r="AE163" i="20" s="1"/>
  <c r="E50" i="22"/>
  <c r="O50" i="22"/>
  <c r="AI50" i="22"/>
  <c r="AS50" i="22"/>
  <c r="AH51" i="22" l="1"/>
  <c r="N51" i="22"/>
  <c r="AR51" i="22"/>
  <c r="D51" i="22"/>
  <c r="M51" i="22"/>
  <c r="AQ51" i="22"/>
  <c r="AG51" i="22"/>
  <c r="C51" i="22"/>
  <c r="AI51" i="22" l="1"/>
  <c r="E51" i="22"/>
  <c r="AS51" i="22"/>
  <c r="O51" i="22"/>
  <c r="AA50" i="10"/>
  <c r="Y164" i="20" s="1"/>
  <c r="AE164" i="20" s="1"/>
  <c r="AB50" i="10"/>
  <c r="M52" i="22" l="1"/>
  <c r="AG52" i="22"/>
  <c r="AQ52" i="22"/>
  <c r="C52" i="22"/>
  <c r="AR52" i="22"/>
  <c r="AH52" i="22"/>
  <c r="N52" i="22"/>
  <c r="D52" i="22"/>
  <c r="O52" i="22" l="1"/>
  <c r="AA51" i="10"/>
  <c r="AB51" i="10"/>
  <c r="AS52" i="22"/>
  <c r="AI52" i="22"/>
  <c r="E52" i="22"/>
  <c r="M53" i="22" l="1"/>
  <c r="AG53" i="22"/>
  <c r="C53" i="22"/>
  <c r="AQ53" i="22"/>
  <c r="AH53" i="22"/>
  <c r="AR53" i="22"/>
  <c r="N53" i="22"/>
  <c r="D53" i="22"/>
  <c r="AS53" i="22" l="1"/>
  <c r="AI53" i="22"/>
  <c r="O53" i="22"/>
  <c r="E53" i="22"/>
  <c r="AA23" i="10"/>
  <c r="AD23" i="10"/>
  <c r="Z136" i="20" s="1"/>
  <c r="AP25" i="22" l="1"/>
  <c r="B25" i="22"/>
  <c r="D25" i="22"/>
  <c r="AH25" i="22"/>
  <c r="AR25" i="22"/>
  <c r="N25" i="22"/>
  <c r="Y137" i="20"/>
  <c r="AE137" i="20" s="1"/>
  <c r="AF25" i="22"/>
  <c r="AA136" i="20"/>
  <c r="AG136" i="20" s="1"/>
  <c r="C14" i="27" l="1" a="1"/>
  <c r="C41" i="27" a="1"/>
  <c r="C32" i="27" a="1"/>
  <c r="S32" i="27" s="1"/>
  <c r="S32" i="26" s="1"/>
  <c r="J2" i="48" s="1"/>
  <c r="C5" i="27" a="1"/>
  <c r="S7" i="27" s="1"/>
  <c r="S7" i="26" s="1"/>
  <c r="E35" i="27" l="1"/>
  <c r="E35" i="26" s="1"/>
  <c r="AT33" i="27"/>
  <c r="AT33" i="26" s="1"/>
  <c r="AK3" i="48" s="1"/>
  <c r="F32" i="27"/>
  <c r="F32" i="26" s="1"/>
  <c r="L32" i="27"/>
  <c r="L32" i="26" s="1"/>
  <c r="C2" i="48" s="1"/>
  <c r="M36" i="27"/>
  <c r="M36" i="26" s="1"/>
  <c r="D6" i="48" s="1"/>
  <c r="N34" i="27"/>
  <c r="N34" i="26" s="1"/>
  <c r="E4" i="48" s="1"/>
  <c r="C33" i="27"/>
  <c r="C33" i="26" s="1"/>
  <c r="AI36" i="27"/>
  <c r="AI36" i="26" s="1"/>
  <c r="Z6" i="48" s="1"/>
  <c r="P36" i="27"/>
  <c r="P36" i="26" s="1"/>
  <c r="G6" i="48" s="1"/>
  <c r="AB36" i="27"/>
  <c r="AB36" i="26" s="1"/>
  <c r="S6" i="48" s="1"/>
  <c r="AH32" i="27"/>
  <c r="AH32" i="26" s="1"/>
  <c r="Y2" i="48" s="1"/>
  <c r="AT34" i="27"/>
  <c r="AT34" i="26" s="1"/>
  <c r="AK4" i="48" s="1"/>
  <c r="AD35" i="27"/>
  <c r="AD35" i="26" s="1"/>
  <c r="U5" i="48" s="1"/>
  <c r="L34" i="27"/>
  <c r="L34" i="26" s="1"/>
  <c r="C4" i="48" s="1"/>
  <c r="AJ32" i="27"/>
  <c r="AJ32" i="26" s="1"/>
  <c r="AA2" i="48" s="1"/>
  <c r="C34" i="27"/>
  <c r="C34" i="26" s="1"/>
  <c r="P32" i="27"/>
  <c r="P32" i="26" s="1"/>
  <c r="G2" i="48" s="1"/>
  <c r="Z32" i="27"/>
  <c r="Z32" i="26" s="1"/>
  <c r="Q2" i="48" s="1"/>
  <c r="K33" i="27"/>
  <c r="K33" i="26" s="1"/>
  <c r="B3" i="48" s="1"/>
  <c r="D34" i="27"/>
  <c r="D34" i="26" s="1"/>
  <c r="AH34" i="27"/>
  <c r="AH34" i="26" s="1"/>
  <c r="Y4" i="48" s="1"/>
  <c r="AT36" i="27"/>
  <c r="AT36" i="26" s="1"/>
  <c r="AK6" i="48" s="1"/>
  <c r="F35" i="27"/>
  <c r="F35" i="26" s="1"/>
  <c r="U32" i="27"/>
  <c r="U32" i="26" s="1"/>
  <c r="L2" i="48" s="1"/>
  <c r="Q32" i="27"/>
  <c r="Q32" i="26" s="1"/>
  <c r="H2" i="48" s="1"/>
  <c r="L35" i="27"/>
  <c r="L35" i="26" s="1"/>
  <c r="C5" i="48" s="1"/>
  <c r="AJ33" i="27"/>
  <c r="AJ33" i="26" s="1"/>
  <c r="AA3" i="48" s="1"/>
  <c r="N35" i="27"/>
  <c r="N35" i="26" s="1"/>
  <c r="E5" i="48" s="1"/>
  <c r="C35" i="27"/>
  <c r="C35" i="26" s="1"/>
  <c r="K35" i="27"/>
  <c r="K35" i="26" s="1"/>
  <c r="B5" i="48" s="1"/>
  <c r="D35" i="27"/>
  <c r="D35" i="26" s="1"/>
  <c r="AG33" i="27"/>
  <c r="AG33" i="26" s="1"/>
  <c r="X3" i="48" s="1"/>
  <c r="AU37" i="27"/>
  <c r="AU37" i="26" s="1"/>
  <c r="AL7" i="48" s="1"/>
  <c r="AT37" i="27"/>
  <c r="AT37" i="26" s="1"/>
  <c r="AK7" i="48" s="1"/>
  <c r="G36" i="27"/>
  <c r="G36" i="26" s="1"/>
  <c r="O32" i="27"/>
  <c r="O32" i="26" s="1"/>
  <c r="F2" i="48" s="1"/>
  <c r="F37" i="27"/>
  <c r="F37" i="26" s="1"/>
  <c r="G33" i="27"/>
  <c r="G33" i="26" s="1"/>
  <c r="U34" i="27"/>
  <c r="U34" i="26" s="1"/>
  <c r="L4" i="48" s="1"/>
  <c r="J32" i="27"/>
  <c r="J32" i="26" s="1"/>
  <c r="Q33" i="27"/>
  <c r="Q33" i="26" s="1"/>
  <c r="H3" i="48" s="1"/>
  <c r="L36" i="27"/>
  <c r="L36" i="26" s="1"/>
  <c r="C6" i="48" s="1"/>
  <c r="AF32" i="27"/>
  <c r="AF32" i="26" s="1"/>
  <c r="W2" i="48" s="1"/>
  <c r="AA32" i="27"/>
  <c r="AA32" i="26" s="1"/>
  <c r="R2" i="48" s="1"/>
  <c r="AJ34" i="27"/>
  <c r="AJ34" i="26" s="1"/>
  <c r="AA4" i="48" s="1"/>
  <c r="N36" i="27"/>
  <c r="N36" i="26" s="1"/>
  <c r="E6" i="48" s="1"/>
  <c r="C36" i="27"/>
  <c r="C36" i="26" s="1"/>
  <c r="K36" i="27"/>
  <c r="K36" i="26" s="1"/>
  <c r="B6" i="48" s="1"/>
  <c r="K37" i="27"/>
  <c r="K37" i="26" s="1"/>
  <c r="B7" i="48" s="1"/>
  <c r="K34" i="27"/>
  <c r="K34" i="26" s="1"/>
  <c r="B4" i="48" s="1"/>
  <c r="AG37" i="27"/>
  <c r="AG37" i="26" s="1"/>
  <c r="X7" i="48" s="1"/>
  <c r="W33" i="27"/>
  <c r="W33" i="26" s="1"/>
  <c r="N3" i="48" s="1"/>
  <c r="O34" i="27"/>
  <c r="O34" i="26" s="1"/>
  <c r="F4" i="48" s="1"/>
  <c r="AD36" i="27"/>
  <c r="AD36" i="26" s="1"/>
  <c r="U6" i="48" s="1"/>
  <c r="G34" i="27"/>
  <c r="G34" i="26" s="1"/>
  <c r="U35" i="27"/>
  <c r="U35" i="26" s="1"/>
  <c r="L5" i="48" s="1"/>
  <c r="J33" i="27"/>
  <c r="J33" i="26" s="1"/>
  <c r="Q34" i="27"/>
  <c r="Q34" i="26" s="1"/>
  <c r="H4" i="48" s="1"/>
  <c r="S35" i="27"/>
  <c r="S35" i="26" s="1"/>
  <c r="J5" i="48" s="1"/>
  <c r="L37" i="27"/>
  <c r="L37" i="26" s="1"/>
  <c r="C7" i="48" s="1"/>
  <c r="AF35" i="27"/>
  <c r="AF35" i="26" s="1"/>
  <c r="W5" i="48" s="1"/>
  <c r="AA33" i="27"/>
  <c r="AA33" i="26" s="1"/>
  <c r="R3" i="48" s="1"/>
  <c r="AJ35" i="27"/>
  <c r="AJ35" i="26" s="1"/>
  <c r="AA5" i="48" s="1"/>
  <c r="N37" i="27"/>
  <c r="N37" i="26" s="1"/>
  <c r="E7" i="48" s="1"/>
  <c r="C37" i="27"/>
  <c r="C37" i="26" s="1"/>
  <c r="AI32" i="27"/>
  <c r="AI32" i="26" s="1"/>
  <c r="Z2" i="48" s="1"/>
  <c r="K32" i="27"/>
  <c r="K32" i="26" s="1"/>
  <c r="B2" i="48" s="1"/>
  <c r="AP36" i="27"/>
  <c r="AP36" i="26" s="1"/>
  <c r="AG6" i="48" s="1"/>
  <c r="AK37" i="27"/>
  <c r="AK37" i="26" s="1"/>
  <c r="AB7" i="48" s="1"/>
  <c r="AO34" i="27"/>
  <c r="AO34" i="26" s="1"/>
  <c r="AF4" i="48" s="1"/>
  <c r="W34" i="27"/>
  <c r="W34" i="26" s="1"/>
  <c r="N4" i="48" s="1"/>
  <c r="O35" i="27"/>
  <c r="O35" i="26" s="1"/>
  <c r="F5" i="48" s="1"/>
  <c r="H32" i="27"/>
  <c r="H32" i="26" s="1"/>
  <c r="Y32" i="27"/>
  <c r="Y32" i="26" s="1"/>
  <c r="P2" i="48" s="1"/>
  <c r="G35" i="27"/>
  <c r="G35" i="26" s="1"/>
  <c r="J34" i="27"/>
  <c r="J34" i="26" s="1"/>
  <c r="Q35" i="27"/>
  <c r="Q35" i="26" s="1"/>
  <c r="H5" i="48" s="1"/>
  <c r="AD33" i="27"/>
  <c r="AD33" i="26" s="1"/>
  <c r="U3" i="48" s="1"/>
  <c r="AL32" i="27"/>
  <c r="AL32" i="26" s="1"/>
  <c r="AC2" i="48" s="1"/>
  <c r="AF36" i="27"/>
  <c r="AF36" i="26" s="1"/>
  <c r="W6" i="48" s="1"/>
  <c r="AA34" i="27"/>
  <c r="AA34" i="26" s="1"/>
  <c r="R4" i="48" s="1"/>
  <c r="M33" i="27"/>
  <c r="M33" i="26" s="1"/>
  <c r="D3" i="48" s="1"/>
  <c r="AJ37" i="27"/>
  <c r="AJ37" i="26" s="1"/>
  <c r="AA7" i="48" s="1"/>
  <c r="AI33" i="27"/>
  <c r="AI33" i="26" s="1"/>
  <c r="Z3" i="48" s="1"/>
  <c r="Z36" i="27"/>
  <c r="Z36" i="26" s="1"/>
  <c r="Q6" i="48" s="1"/>
  <c r="P37" i="27"/>
  <c r="P37" i="26" s="1"/>
  <c r="G7" i="48" s="1"/>
  <c r="AP32" i="27"/>
  <c r="AP32" i="26" s="1"/>
  <c r="AG2" i="48" s="1"/>
  <c r="AP34" i="27"/>
  <c r="AP34" i="26" s="1"/>
  <c r="AG4" i="48" s="1"/>
  <c r="AR34" i="27"/>
  <c r="AR34" i="26" s="1"/>
  <c r="AI4" i="48" s="1"/>
  <c r="AO35" i="27"/>
  <c r="AO35" i="26" s="1"/>
  <c r="AF5" i="48" s="1"/>
  <c r="W36" i="27"/>
  <c r="W36" i="26" s="1"/>
  <c r="N6" i="48" s="1"/>
  <c r="H34" i="27"/>
  <c r="H34" i="26" s="1"/>
  <c r="Y33" i="27"/>
  <c r="Y33" i="26" s="1"/>
  <c r="P3" i="48" s="1"/>
  <c r="AR36" i="27"/>
  <c r="AR36" i="26" s="1"/>
  <c r="AI6" i="48" s="1"/>
  <c r="AO37" i="27"/>
  <c r="AO37" i="26" s="1"/>
  <c r="AF7" i="48" s="1"/>
  <c r="AT32" i="27"/>
  <c r="AT32" i="26" s="1"/>
  <c r="AK2" i="48" s="1"/>
  <c r="H35" i="27"/>
  <c r="H35" i="26" s="1"/>
  <c r="Y37" i="27"/>
  <c r="Y37" i="26" s="1"/>
  <c r="P7" i="48" s="1"/>
  <c r="AL35" i="27"/>
  <c r="AL35" i="26" s="1"/>
  <c r="AC5" i="48" s="1"/>
  <c r="AA37" i="27"/>
  <c r="AA37" i="26" s="1"/>
  <c r="R7" i="48" s="1"/>
  <c r="M35" i="27"/>
  <c r="M35" i="26" s="1"/>
  <c r="D5" i="48" s="1"/>
  <c r="N33" i="27"/>
  <c r="N33" i="26" s="1"/>
  <c r="E3" i="48" s="1"/>
  <c r="C32" i="27"/>
  <c r="C32" i="26" s="1"/>
  <c r="AI35" i="27"/>
  <c r="AI35" i="26" s="1"/>
  <c r="Z5" i="48" s="1"/>
  <c r="P35" i="27"/>
  <c r="P35" i="26" s="1"/>
  <c r="G5" i="48" s="1"/>
  <c r="AP37" i="27"/>
  <c r="AP37" i="26" s="1"/>
  <c r="AG7" i="48" s="1"/>
  <c r="AP35" i="27"/>
  <c r="AP35" i="26" s="1"/>
  <c r="AG5" i="48" s="1"/>
  <c r="Z37" i="27"/>
  <c r="Z37" i="26" s="1"/>
  <c r="Q7" i="48" s="1"/>
  <c r="AP33" i="27"/>
  <c r="AP33" i="26" s="1"/>
  <c r="AG3" i="48" s="1"/>
  <c r="AL33" i="27"/>
  <c r="AL33" i="26" s="1"/>
  <c r="AC3" i="48" s="1"/>
  <c r="AA36" i="27"/>
  <c r="AA36" i="26" s="1"/>
  <c r="R6" i="48" s="1"/>
  <c r="Z34" i="27"/>
  <c r="Z34" i="26" s="1"/>
  <c r="Q4" i="48" s="1"/>
  <c r="J35" i="27"/>
  <c r="J35" i="26" s="1"/>
  <c r="M34" i="27"/>
  <c r="M34" i="26" s="1"/>
  <c r="D4" i="48" s="1"/>
  <c r="Q36" i="27"/>
  <c r="Q36" i="26" s="1"/>
  <c r="H6" i="48" s="1"/>
  <c r="Z33" i="27"/>
  <c r="Z33" i="26" s="1"/>
  <c r="Q3" i="48" s="1"/>
  <c r="AI34" i="27"/>
  <c r="AI34" i="26" s="1"/>
  <c r="Z4" i="48" s="1"/>
  <c r="AF37" i="27"/>
  <c r="AF37" i="26" s="1"/>
  <c r="W7" i="48" s="1"/>
  <c r="G37" i="27"/>
  <c r="G37" i="26" s="1"/>
  <c r="S37" i="27"/>
  <c r="S37" i="26" s="1"/>
  <c r="J7" i="48" s="1"/>
  <c r="N32" i="27"/>
  <c r="N32" i="26" s="1"/>
  <c r="E2" i="48" s="1"/>
  <c r="P33" i="27"/>
  <c r="P33" i="26" s="1"/>
  <c r="G3" i="48" s="1"/>
  <c r="P34" i="27"/>
  <c r="P34" i="26" s="1"/>
  <c r="G4" i="48" s="1"/>
  <c r="AO32" i="27"/>
  <c r="AO32" i="26" s="1"/>
  <c r="AF2" i="48" s="1"/>
  <c r="M32" i="27"/>
  <c r="M32" i="26" s="1"/>
  <c r="D2" i="48" s="1"/>
  <c r="Y34" i="27"/>
  <c r="Y34" i="26" s="1"/>
  <c r="P4" i="48" s="1"/>
  <c r="AS33" i="27"/>
  <c r="AS33" i="26" s="1"/>
  <c r="AJ3" i="48" s="1"/>
  <c r="AA35" i="27"/>
  <c r="AA35" i="26" s="1"/>
  <c r="R5" i="48" s="1"/>
  <c r="W32" i="27"/>
  <c r="W32" i="26" s="1"/>
  <c r="N2" i="48" s="1"/>
  <c r="AC36" i="27"/>
  <c r="AC36" i="26" s="1"/>
  <c r="T6" i="48" s="1"/>
  <c r="AG34" i="27"/>
  <c r="AG34" i="26" s="1"/>
  <c r="X4" i="48" s="1"/>
  <c r="V35" i="27"/>
  <c r="V35" i="26" s="1"/>
  <c r="M5" i="48" s="1"/>
  <c r="AN35" i="27"/>
  <c r="AN35" i="26" s="1"/>
  <c r="AE5" i="48" s="1"/>
  <c r="I33" i="27"/>
  <c r="I33" i="26" s="1"/>
  <c r="AQ34" i="27"/>
  <c r="AQ34" i="26" s="1"/>
  <c r="AH4" i="48" s="1"/>
  <c r="AQ36" i="27"/>
  <c r="AQ36" i="26" s="1"/>
  <c r="AH6" i="48" s="1"/>
  <c r="S33" i="27"/>
  <c r="S33" i="26" s="1"/>
  <c r="J3" i="48" s="1"/>
  <c r="V32" i="27"/>
  <c r="V32" i="26" s="1"/>
  <c r="M2" i="48" s="1"/>
  <c r="AF34" i="27"/>
  <c r="AF34" i="26" s="1"/>
  <c r="W4" i="48" s="1"/>
  <c r="AL36" i="27"/>
  <c r="AL36" i="26" s="1"/>
  <c r="AC6" i="48" s="1"/>
  <c r="U36" i="27"/>
  <c r="U36" i="26" s="1"/>
  <c r="L6" i="48" s="1"/>
  <c r="F36" i="27"/>
  <c r="F36" i="26" s="1"/>
  <c r="AM36" i="27"/>
  <c r="AM36" i="26" s="1"/>
  <c r="AD6" i="48" s="1"/>
  <c r="R34" i="27"/>
  <c r="R34" i="26" s="1"/>
  <c r="I4" i="48" s="1"/>
  <c r="AQ33" i="27"/>
  <c r="AQ33" i="26" s="1"/>
  <c r="AH3" i="48" s="1"/>
  <c r="AL34" i="27"/>
  <c r="AL34" i="26" s="1"/>
  <c r="AC4" i="48" s="1"/>
  <c r="AH36" i="27"/>
  <c r="AH36" i="26" s="1"/>
  <c r="Y6" i="48" s="1"/>
  <c r="AB34" i="27"/>
  <c r="AB34" i="26" s="1"/>
  <c r="S4" i="48" s="1"/>
  <c r="AR37" i="27"/>
  <c r="AR37" i="26" s="1"/>
  <c r="AI7" i="48" s="1"/>
  <c r="AB32" i="27"/>
  <c r="AB32" i="26" s="1"/>
  <c r="S2" i="48" s="1"/>
  <c r="AE37" i="27"/>
  <c r="AE37" i="26" s="1"/>
  <c r="V7" i="48" s="1"/>
  <c r="AU32" i="27"/>
  <c r="AU32" i="26" s="1"/>
  <c r="AL2" i="48" s="1"/>
  <c r="AM32" i="27"/>
  <c r="AM32" i="26" s="1"/>
  <c r="AD2" i="48" s="1"/>
  <c r="AN34" i="27"/>
  <c r="AN34" i="26" s="1"/>
  <c r="AE4" i="48" s="1"/>
  <c r="V34" i="27"/>
  <c r="V34" i="26" s="1"/>
  <c r="M4" i="48" s="1"/>
  <c r="AS36" i="27"/>
  <c r="AS36" i="26" s="1"/>
  <c r="AJ6" i="48" s="1"/>
  <c r="AS35" i="27"/>
  <c r="AS35" i="26" s="1"/>
  <c r="AJ5" i="48" s="1"/>
  <c r="AB37" i="27"/>
  <c r="AB37" i="26" s="1"/>
  <c r="S7" i="48" s="1"/>
  <c r="F33" i="27"/>
  <c r="F33" i="26" s="1"/>
  <c r="AM37" i="27"/>
  <c r="AM37" i="26" s="1"/>
  <c r="AD7" i="48" s="1"/>
  <c r="AG32" i="27"/>
  <c r="AG32" i="26" s="1"/>
  <c r="X2" i="48" s="1"/>
  <c r="AM35" i="27"/>
  <c r="AM35" i="26" s="1"/>
  <c r="AD5" i="48" s="1"/>
  <c r="G32" i="27"/>
  <c r="G32" i="26" s="1"/>
  <c r="M37" i="27"/>
  <c r="M37" i="26" s="1"/>
  <c r="D7" i="48" s="1"/>
  <c r="R35" i="27"/>
  <c r="R35" i="26" s="1"/>
  <c r="I5" i="48" s="1"/>
  <c r="R33" i="27"/>
  <c r="R33" i="26" s="1"/>
  <c r="I3" i="48" s="1"/>
  <c r="AS37" i="27"/>
  <c r="AS37" i="26" s="1"/>
  <c r="AJ7" i="48" s="1"/>
  <c r="AB35" i="27"/>
  <c r="AB35" i="26" s="1"/>
  <c r="S5" i="48" s="1"/>
  <c r="AT35" i="27"/>
  <c r="AT35" i="26" s="1"/>
  <c r="AK5" i="48" s="1"/>
  <c r="H37" i="27"/>
  <c r="H37" i="26" s="1"/>
  <c r="H36" i="27"/>
  <c r="H36" i="26" s="1"/>
  <c r="AJ36" i="27"/>
  <c r="AJ36" i="26" s="1"/>
  <c r="AA6" i="48" s="1"/>
  <c r="AF33" i="27"/>
  <c r="AF33" i="26" s="1"/>
  <c r="W3" i="48" s="1"/>
  <c r="S36" i="27"/>
  <c r="S36" i="26" s="1"/>
  <c r="J6" i="48" s="1"/>
  <c r="Z35" i="27"/>
  <c r="Z35" i="26" s="1"/>
  <c r="Q5" i="48" s="1"/>
  <c r="H33" i="27"/>
  <c r="H33" i="26" s="1"/>
  <c r="X36" i="27"/>
  <c r="X36" i="26" s="1"/>
  <c r="O6" i="48" s="1"/>
  <c r="AG36" i="27"/>
  <c r="AG36" i="26" s="1"/>
  <c r="X6" i="48" s="1"/>
  <c r="W35" i="27"/>
  <c r="W35" i="26" s="1"/>
  <c r="N5" i="48" s="1"/>
  <c r="AE36" i="27"/>
  <c r="AE36" i="26" s="1"/>
  <c r="V6" i="48" s="1"/>
  <c r="AE33" i="27"/>
  <c r="AE33" i="26" s="1"/>
  <c r="V3" i="48" s="1"/>
  <c r="AO36" i="27"/>
  <c r="AO36" i="26" s="1"/>
  <c r="AF6" i="48" s="1"/>
  <c r="D36" i="27"/>
  <c r="D36" i="26" s="1"/>
  <c r="AR33" i="27"/>
  <c r="AR33" i="26" s="1"/>
  <c r="AI3" i="48" s="1"/>
  <c r="AR32" i="27"/>
  <c r="AR32" i="26" s="1"/>
  <c r="AI2" i="48" s="1"/>
  <c r="AL37" i="27"/>
  <c r="AL37" i="26" s="1"/>
  <c r="AC7" i="48" s="1"/>
  <c r="J37" i="27"/>
  <c r="J37" i="26" s="1"/>
  <c r="AI37" i="27"/>
  <c r="AI37" i="26" s="1"/>
  <c r="Z7" i="48" s="1"/>
  <c r="AU35" i="27"/>
  <c r="AU35" i="26" s="1"/>
  <c r="AL5" i="48" s="1"/>
  <c r="AM34" i="27"/>
  <c r="AM34" i="26" s="1"/>
  <c r="AD4" i="48" s="1"/>
  <c r="AU33" i="27"/>
  <c r="AU33" i="26" s="1"/>
  <c r="AL3" i="48" s="1"/>
  <c r="AK32" i="27"/>
  <c r="AK32" i="26" s="1"/>
  <c r="AB2" i="48" s="1"/>
  <c r="AD34" i="27"/>
  <c r="AD34" i="26" s="1"/>
  <c r="U4" i="48" s="1"/>
  <c r="AC32" i="27"/>
  <c r="AC32" i="26" s="1"/>
  <c r="T2" i="48" s="1"/>
  <c r="AQ37" i="27"/>
  <c r="AQ37" i="26" s="1"/>
  <c r="AH7" i="48" s="1"/>
  <c r="X37" i="27"/>
  <c r="X37" i="26" s="1"/>
  <c r="O7" i="48" s="1"/>
  <c r="I35" i="27"/>
  <c r="I35" i="26" s="1"/>
  <c r="E36" i="27"/>
  <c r="E36" i="26" s="1"/>
  <c r="AN36" i="27"/>
  <c r="AN36" i="26" s="1"/>
  <c r="AE6" i="48" s="1"/>
  <c r="I36" i="27"/>
  <c r="I36" i="26" s="1"/>
  <c r="E32" i="27"/>
  <c r="E32" i="26" s="1"/>
  <c r="D37" i="27"/>
  <c r="D37" i="26" s="1"/>
  <c r="AN32" i="27"/>
  <c r="AN32" i="26" s="1"/>
  <c r="AE2" i="48" s="1"/>
  <c r="I32" i="27"/>
  <c r="I32" i="26" s="1"/>
  <c r="AQ35" i="27"/>
  <c r="AQ35" i="26" s="1"/>
  <c r="AH5" i="48" s="1"/>
  <c r="F34" i="27"/>
  <c r="F34" i="26" s="1"/>
  <c r="AD37" i="27"/>
  <c r="AD37" i="26" s="1"/>
  <c r="U7" i="48" s="1"/>
  <c r="T33" i="27"/>
  <c r="T33" i="26" s="1"/>
  <c r="K3" i="48" s="1"/>
  <c r="AU34" i="27"/>
  <c r="AU34" i="26" s="1"/>
  <c r="AL4" i="48" s="1"/>
  <c r="AM33" i="27"/>
  <c r="AM33" i="26" s="1"/>
  <c r="AD3" i="48" s="1"/>
  <c r="X33" i="27"/>
  <c r="X33" i="26" s="1"/>
  <c r="O3" i="48" s="1"/>
  <c r="AC34" i="27"/>
  <c r="AC34" i="26" s="1"/>
  <c r="T4" i="48" s="1"/>
  <c r="X35" i="27"/>
  <c r="X35" i="26" s="1"/>
  <c r="O5" i="48" s="1"/>
  <c r="R36" i="27"/>
  <c r="R36" i="26" s="1"/>
  <c r="I6" i="48" s="1"/>
  <c r="X32" i="27"/>
  <c r="X32" i="26" s="1"/>
  <c r="O2" i="48" s="1"/>
  <c r="R37" i="27"/>
  <c r="R37" i="26" s="1"/>
  <c r="I7" i="48" s="1"/>
  <c r="E37" i="27"/>
  <c r="E37" i="26" s="1"/>
  <c r="I34" i="27"/>
  <c r="I34" i="26" s="1"/>
  <c r="AN37" i="27"/>
  <c r="AN37" i="26" s="1"/>
  <c r="AE7" i="48" s="1"/>
  <c r="O37" i="27"/>
  <c r="O37" i="26" s="1"/>
  <c r="F7" i="48" s="1"/>
  <c r="J36" i="27"/>
  <c r="J36" i="26" s="1"/>
  <c r="O36" i="27"/>
  <c r="O36" i="26" s="1"/>
  <c r="F6" i="48" s="1"/>
  <c r="W37" i="27"/>
  <c r="W37" i="26" s="1"/>
  <c r="N7" i="48" s="1"/>
  <c r="R32" i="27"/>
  <c r="R32" i="26" s="1"/>
  <c r="I2" i="48" s="1"/>
  <c r="L33" i="27"/>
  <c r="L33" i="26" s="1"/>
  <c r="C3" i="48" s="1"/>
  <c r="U33" i="27"/>
  <c r="U33" i="26" s="1"/>
  <c r="L3" i="48" s="1"/>
  <c r="Y35" i="27"/>
  <c r="Y35" i="26" s="1"/>
  <c r="P5" i="48" s="1"/>
  <c r="V36" i="27"/>
  <c r="V36" i="26" s="1"/>
  <c r="M6" i="48" s="1"/>
  <c r="AB33" i="27"/>
  <c r="AB33" i="26" s="1"/>
  <c r="S3" i="48" s="1"/>
  <c r="O33" i="27"/>
  <c r="O33" i="26" s="1"/>
  <c r="F3" i="48" s="1"/>
  <c r="V33" i="27"/>
  <c r="V33" i="26" s="1"/>
  <c r="M3" i="48" s="1"/>
  <c r="AH33" i="27"/>
  <c r="AH33" i="26" s="1"/>
  <c r="Y3" i="48" s="1"/>
  <c r="AK36" i="27"/>
  <c r="AK36" i="26" s="1"/>
  <c r="AB6" i="48" s="1"/>
  <c r="AU36" i="27"/>
  <c r="AU36" i="26" s="1"/>
  <c r="AL6" i="48" s="1"/>
  <c r="AK35" i="27"/>
  <c r="AK35" i="26" s="1"/>
  <c r="AB5" i="48" s="1"/>
  <c r="AD32" i="27"/>
  <c r="AD32" i="26" s="1"/>
  <c r="U2" i="48" s="1"/>
  <c r="U37" i="27"/>
  <c r="U37" i="26" s="1"/>
  <c r="L7" i="48" s="1"/>
  <c r="Y36" i="27"/>
  <c r="Y36" i="26" s="1"/>
  <c r="P6" i="48" s="1"/>
  <c r="AH37" i="27"/>
  <c r="AH37" i="26" s="1"/>
  <c r="Y7" i="48" s="1"/>
  <c r="AH35" i="27"/>
  <c r="AH35" i="26" s="1"/>
  <c r="Y5" i="48" s="1"/>
  <c r="V37" i="27"/>
  <c r="V37" i="26" s="1"/>
  <c r="M7" i="48" s="1"/>
  <c r="Q37" i="27"/>
  <c r="Q37" i="26" s="1"/>
  <c r="H7" i="48" s="1"/>
  <c r="AR35" i="27"/>
  <c r="AR35" i="26" s="1"/>
  <c r="AI5" i="48" s="1"/>
  <c r="T35" i="27"/>
  <c r="T35" i="26" s="1"/>
  <c r="K5" i="48" s="1"/>
  <c r="T32" i="27"/>
  <c r="T32" i="26" s="1"/>
  <c r="K2" i="48" s="1"/>
  <c r="AE35" i="27"/>
  <c r="AE35" i="26" s="1"/>
  <c r="V5" i="48" s="1"/>
  <c r="AS32" i="27"/>
  <c r="AS32" i="26" s="1"/>
  <c r="AJ2" i="48" s="1"/>
  <c r="AE32" i="27"/>
  <c r="AE32" i="26" s="1"/>
  <c r="V2" i="48" s="1"/>
  <c r="AC37" i="27"/>
  <c r="AC37" i="26" s="1"/>
  <c r="T7" i="48" s="1"/>
  <c r="AC33" i="27"/>
  <c r="AC33" i="26" s="1"/>
  <c r="T3" i="48" s="1"/>
  <c r="I37" i="27"/>
  <c r="I37" i="26" s="1"/>
  <c r="T34" i="27"/>
  <c r="T34" i="26" s="1"/>
  <c r="K4" i="48" s="1"/>
  <c r="T36" i="27"/>
  <c r="T36" i="26" s="1"/>
  <c r="K6" i="48" s="1"/>
  <c r="AE34" i="27"/>
  <c r="AE34" i="26" s="1"/>
  <c r="V4" i="48" s="1"/>
  <c r="AK33" i="27"/>
  <c r="AK33" i="26" s="1"/>
  <c r="AB3" i="48" s="1"/>
  <c r="AC35" i="27"/>
  <c r="AC35" i="26" s="1"/>
  <c r="T5" i="48" s="1"/>
  <c r="D32" i="27"/>
  <c r="D32" i="26" s="1"/>
  <c r="T37" i="27"/>
  <c r="T37" i="26" s="1"/>
  <c r="K7" i="48" s="1"/>
  <c r="AG35" i="27"/>
  <c r="AG35" i="26" s="1"/>
  <c r="X5" i="48" s="1"/>
  <c r="AQ32" i="27"/>
  <c r="AQ32" i="26" s="1"/>
  <c r="AH2" i="48" s="1"/>
  <c r="AS34" i="27"/>
  <c r="AS34" i="26" s="1"/>
  <c r="AJ4" i="48" s="1"/>
  <c r="E33" i="27"/>
  <c r="E33" i="26" s="1"/>
  <c r="E34" i="27"/>
  <c r="E34" i="26" s="1"/>
  <c r="AN33" i="27"/>
  <c r="AN33" i="26" s="1"/>
  <c r="AE3" i="48" s="1"/>
  <c r="D33" i="27"/>
  <c r="D33" i="26" s="1"/>
  <c r="X34" i="27"/>
  <c r="X34" i="26" s="1"/>
  <c r="O4" i="48" s="1"/>
  <c r="AK34" i="27"/>
  <c r="AK34" i="26" s="1"/>
  <c r="AB4" i="48" s="1"/>
  <c r="AO33" i="27"/>
  <c r="AO33" i="26" s="1"/>
  <c r="AF3" i="48" s="1"/>
  <c r="S34" i="27"/>
  <c r="S34" i="26" s="1"/>
  <c r="J4" i="48" s="1"/>
  <c r="I43" i="27"/>
  <c r="I43" i="26" s="1"/>
  <c r="AR43" i="27"/>
  <c r="AR43" i="26" s="1"/>
  <c r="AI4" i="49" s="1"/>
  <c r="AM45" i="27"/>
  <c r="AM45" i="26" s="1"/>
  <c r="AD6" i="49" s="1"/>
  <c r="AO46" i="27"/>
  <c r="AO46" i="26" s="1"/>
  <c r="AF7" i="49" s="1"/>
  <c r="W44" i="27"/>
  <c r="W44" i="26" s="1"/>
  <c r="N5" i="49" s="1"/>
  <c r="O45" i="27"/>
  <c r="O45" i="26" s="1"/>
  <c r="F6" i="49" s="1"/>
  <c r="H41" i="27"/>
  <c r="H41" i="26" s="1"/>
  <c r="Y41" i="27"/>
  <c r="Y41" i="26" s="1"/>
  <c r="P2" i="49" s="1"/>
  <c r="G42" i="27"/>
  <c r="G42" i="26" s="1"/>
  <c r="U45" i="27"/>
  <c r="U45" i="26" s="1"/>
  <c r="L6" i="49" s="1"/>
  <c r="J43" i="27"/>
  <c r="J43" i="26" s="1"/>
  <c r="Q44" i="27"/>
  <c r="Q44" i="26" s="1"/>
  <c r="H5" i="49" s="1"/>
  <c r="AD43" i="27"/>
  <c r="AD43" i="26" s="1"/>
  <c r="U4" i="49" s="1"/>
  <c r="AL41" i="27"/>
  <c r="AL41" i="26" s="1"/>
  <c r="AC2" i="49" s="1"/>
  <c r="L46" i="27"/>
  <c r="L46" i="26" s="1"/>
  <c r="C7" i="49" s="1"/>
  <c r="AF42" i="27"/>
  <c r="AF42" i="26" s="1"/>
  <c r="W3" i="49" s="1"/>
  <c r="AA41" i="27"/>
  <c r="AA41" i="26" s="1"/>
  <c r="R2" i="49" s="1"/>
  <c r="AJ43" i="27"/>
  <c r="AJ43" i="26" s="1"/>
  <c r="AA4" i="49" s="1"/>
  <c r="N44" i="27"/>
  <c r="N44" i="26" s="1"/>
  <c r="E5" i="49" s="1"/>
  <c r="C44" i="27"/>
  <c r="C44" i="26" s="1"/>
  <c r="AP46" i="27"/>
  <c r="AP46" i="26" s="1"/>
  <c r="AG7" i="49" s="1"/>
  <c r="P42" i="27"/>
  <c r="P42" i="26" s="1"/>
  <c r="G3" i="49" s="1"/>
  <c r="R44" i="27"/>
  <c r="R44" i="26" s="1"/>
  <c r="I5" i="49" s="1"/>
  <c r="W45" i="27"/>
  <c r="W45" i="26" s="1"/>
  <c r="N6" i="49" s="1"/>
  <c r="O46" i="27"/>
  <c r="O46" i="26" s="1"/>
  <c r="F7" i="49" s="1"/>
  <c r="H42" i="27"/>
  <c r="H42" i="26" s="1"/>
  <c r="F41" i="27"/>
  <c r="F41" i="26" s="1"/>
  <c r="Y42" i="27"/>
  <c r="Y42" i="26" s="1"/>
  <c r="P3" i="49" s="1"/>
  <c r="U46" i="27"/>
  <c r="U46" i="26" s="1"/>
  <c r="L7" i="49" s="1"/>
  <c r="J44" i="27"/>
  <c r="J44" i="26" s="1"/>
  <c r="Q45" i="27"/>
  <c r="Q45" i="26" s="1"/>
  <c r="H6" i="49" s="1"/>
  <c r="AL42" i="27"/>
  <c r="AL42" i="26" s="1"/>
  <c r="AC3" i="49" s="1"/>
  <c r="AF43" i="27"/>
  <c r="AF43" i="26" s="1"/>
  <c r="W4" i="49" s="1"/>
  <c r="AA42" i="27"/>
  <c r="AA42" i="26" s="1"/>
  <c r="R3" i="49" s="1"/>
  <c r="AJ44" i="27"/>
  <c r="AJ44" i="26" s="1"/>
  <c r="AA5" i="49" s="1"/>
  <c r="N45" i="27"/>
  <c r="N45" i="26" s="1"/>
  <c r="E6" i="49" s="1"/>
  <c r="C45" i="27"/>
  <c r="C45" i="26" s="1"/>
  <c r="AI41" i="27"/>
  <c r="AI41" i="26" s="1"/>
  <c r="Z2" i="49" s="1"/>
  <c r="P41" i="27"/>
  <c r="P41" i="26" s="1"/>
  <c r="G2" i="49" s="1"/>
  <c r="AB45" i="27"/>
  <c r="AB45" i="26" s="1"/>
  <c r="S6" i="49" s="1"/>
  <c r="W46" i="27"/>
  <c r="W46" i="26" s="1"/>
  <c r="N7" i="49" s="1"/>
  <c r="Z44" i="27"/>
  <c r="Z44" i="26" s="1"/>
  <c r="Q5" i="49" s="1"/>
  <c r="H43" i="27"/>
  <c r="H43" i="26" s="1"/>
  <c r="Y43" i="27"/>
  <c r="Y43" i="26" s="1"/>
  <c r="P4" i="49" s="1"/>
  <c r="J45" i="27"/>
  <c r="J45" i="26" s="1"/>
  <c r="Q46" i="27"/>
  <c r="Q46" i="26" s="1"/>
  <c r="H7" i="49" s="1"/>
  <c r="AL43" i="27"/>
  <c r="AL43" i="26" s="1"/>
  <c r="AC4" i="49" s="1"/>
  <c r="AF45" i="27"/>
  <c r="AF45" i="26" s="1"/>
  <c r="W6" i="49" s="1"/>
  <c r="AA43" i="27"/>
  <c r="AA43" i="26" s="1"/>
  <c r="R4" i="49" s="1"/>
  <c r="M42" i="27"/>
  <c r="M42" i="26" s="1"/>
  <c r="D3" i="49" s="1"/>
  <c r="AJ45" i="27"/>
  <c r="AJ45" i="26" s="1"/>
  <c r="AA6" i="49" s="1"/>
  <c r="N46" i="27"/>
  <c r="N46" i="26" s="1"/>
  <c r="E7" i="49" s="1"/>
  <c r="AI42" i="27"/>
  <c r="AI42" i="26" s="1"/>
  <c r="Z3" i="49" s="1"/>
  <c r="Z41" i="27"/>
  <c r="Z41" i="26" s="1"/>
  <c r="Q2" i="49" s="1"/>
  <c r="AP42" i="27"/>
  <c r="AP42" i="26" s="1"/>
  <c r="AG3" i="49" s="1"/>
  <c r="AH46" i="27"/>
  <c r="AH46" i="26" s="1"/>
  <c r="Y7" i="49" s="1"/>
  <c r="H45" i="27"/>
  <c r="H45" i="26" s="1"/>
  <c r="Y44" i="27"/>
  <c r="Y44" i="26" s="1"/>
  <c r="P5" i="49" s="1"/>
  <c r="J46" i="27"/>
  <c r="J46" i="26" s="1"/>
  <c r="AL44" i="27"/>
  <c r="AL44" i="26" s="1"/>
  <c r="AC5" i="49" s="1"/>
  <c r="AF46" i="27"/>
  <c r="AF46" i="26" s="1"/>
  <c r="W7" i="49" s="1"/>
  <c r="AA44" i="27"/>
  <c r="AA44" i="26" s="1"/>
  <c r="R5" i="49" s="1"/>
  <c r="M43" i="27"/>
  <c r="M43" i="26" s="1"/>
  <c r="D4" i="49" s="1"/>
  <c r="C46" i="27"/>
  <c r="C46" i="26" s="1"/>
  <c r="T42" i="27"/>
  <c r="T42" i="26" s="1"/>
  <c r="K3" i="49" s="1"/>
  <c r="M41" i="27"/>
  <c r="M41" i="26" s="1"/>
  <c r="D2" i="49" s="1"/>
  <c r="AU41" i="27"/>
  <c r="AU41" i="26" s="1"/>
  <c r="AL2" i="49" s="1"/>
  <c r="AT43" i="27"/>
  <c r="AT43" i="26" s="1"/>
  <c r="AK4" i="49" s="1"/>
  <c r="H46" i="27"/>
  <c r="H46" i="26" s="1"/>
  <c r="F43" i="27"/>
  <c r="F43" i="26" s="1"/>
  <c r="AL46" i="27"/>
  <c r="AL46" i="26" s="1"/>
  <c r="AC7" i="49" s="1"/>
  <c r="M44" i="27"/>
  <c r="M44" i="26" s="1"/>
  <c r="D5" i="49" s="1"/>
  <c r="AI44" i="27"/>
  <c r="AI44" i="26" s="1"/>
  <c r="Z5" i="49" s="1"/>
  <c r="K45" i="27"/>
  <c r="K45" i="26" s="1"/>
  <c r="B6" i="49" s="1"/>
  <c r="K42" i="27"/>
  <c r="K42" i="26" s="1"/>
  <c r="B3" i="49" s="1"/>
  <c r="AP43" i="27"/>
  <c r="AP43" i="26" s="1"/>
  <c r="AG4" i="49" s="1"/>
  <c r="Z42" i="27"/>
  <c r="Z42" i="26" s="1"/>
  <c r="Q3" i="49" s="1"/>
  <c r="X43" i="27"/>
  <c r="X43" i="26" s="1"/>
  <c r="O4" i="49" s="1"/>
  <c r="AG44" i="27"/>
  <c r="AG44" i="26" s="1"/>
  <c r="X5" i="49" s="1"/>
  <c r="AM41" i="27"/>
  <c r="AM41" i="26" s="1"/>
  <c r="AD2" i="49" s="1"/>
  <c r="AU42" i="27"/>
  <c r="AU42" i="26" s="1"/>
  <c r="AL3" i="49" s="1"/>
  <c r="AT44" i="27"/>
  <c r="AT44" i="26" s="1"/>
  <c r="AK5" i="49" s="1"/>
  <c r="F46" i="27"/>
  <c r="F46" i="26" s="1"/>
  <c r="U41" i="27"/>
  <c r="U41" i="26" s="1"/>
  <c r="L2" i="49" s="1"/>
  <c r="S44" i="27"/>
  <c r="S44" i="26" s="1"/>
  <c r="J5" i="49" s="1"/>
  <c r="L41" i="27"/>
  <c r="L41" i="26" s="1"/>
  <c r="C2" i="49" s="1"/>
  <c r="AA46" i="27"/>
  <c r="AA46" i="26" s="1"/>
  <c r="R7" i="49" s="1"/>
  <c r="M45" i="27"/>
  <c r="M45" i="26" s="1"/>
  <c r="D6" i="49" s="1"/>
  <c r="N41" i="27"/>
  <c r="N41" i="26" s="1"/>
  <c r="E2" i="49" s="1"/>
  <c r="C41" i="27"/>
  <c r="C41" i="26" s="1"/>
  <c r="AI45" i="27"/>
  <c r="AI45" i="26" s="1"/>
  <c r="Z6" i="49" s="1"/>
  <c r="AP44" i="27"/>
  <c r="AP44" i="26" s="1"/>
  <c r="AG5" i="49" s="1"/>
  <c r="AP45" i="27"/>
  <c r="AP45" i="26" s="1"/>
  <c r="AG6" i="49" s="1"/>
  <c r="X44" i="27"/>
  <c r="X44" i="26" s="1"/>
  <c r="O5" i="49" s="1"/>
  <c r="AK41" i="27"/>
  <c r="AK41" i="26" s="1"/>
  <c r="AB2" i="49" s="1"/>
  <c r="AM42" i="27"/>
  <c r="AM42" i="26" s="1"/>
  <c r="AD3" i="49" s="1"/>
  <c r="AU43" i="27"/>
  <c r="AU43" i="26" s="1"/>
  <c r="AL4" i="49" s="1"/>
  <c r="AT45" i="27"/>
  <c r="AT45" i="26" s="1"/>
  <c r="AK6" i="49" s="1"/>
  <c r="O43" i="27"/>
  <c r="O43" i="26" s="1"/>
  <c r="F4" i="49" s="1"/>
  <c r="M46" i="27"/>
  <c r="M46" i="26" s="1"/>
  <c r="D7" i="49" s="1"/>
  <c r="AK46" i="27"/>
  <c r="AK46" i="26" s="1"/>
  <c r="AB7" i="49" s="1"/>
  <c r="AM43" i="27"/>
  <c r="AM43" i="26" s="1"/>
  <c r="AD4" i="49" s="1"/>
  <c r="W42" i="27"/>
  <c r="W42" i="26" s="1"/>
  <c r="N3" i="49" s="1"/>
  <c r="AU44" i="27"/>
  <c r="AU44" i="26" s="1"/>
  <c r="AL5" i="49" s="1"/>
  <c r="O44" i="27"/>
  <c r="O44" i="26" s="1"/>
  <c r="F5" i="49" s="1"/>
  <c r="AI46" i="27"/>
  <c r="AI46" i="26" s="1"/>
  <c r="Z7" i="49" s="1"/>
  <c r="G41" i="27"/>
  <c r="G41" i="26" s="1"/>
  <c r="U43" i="27"/>
  <c r="U43" i="26" s="1"/>
  <c r="L4" i="49" s="1"/>
  <c r="J42" i="27"/>
  <c r="J42" i="26" s="1"/>
  <c r="Q41" i="27"/>
  <c r="Q41" i="26" s="1"/>
  <c r="H2" i="49" s="1"/>
  <c r="AI43" i="27"/>
  <c r="AI43" i="26" s="1"/>
  <c r="Z4" i="49" s="1"/>
  <c r="AD42" i="27"/>
  <c r="AD42" i="26" s="1"/>
  <c r="U3" i="49" s="1"/>
  <c r="L45" i="27"/>
  <c r="L45" i="26" s="1"/>
  <c r="C6" i="49" s="1"/>
  <c r="AF41" i="27"/>
  <c r="AF41" i="26" s="1"/>
  <c r="W2" i="49" s="1"/>
  <c r="S46" i="27"/>
  <c r="S46" i="26" s="1"/>
  <c r="J7" i="49" s="1"/>
  <c r="AJ42" i="27"/>
  <c r="AJ42" i="26" s="1"/>
  <c r="AA3" i="49" s="1"/>
  <c r="N43" i="27"/>
  <c r="N43" i="26" s="1"/>
  <c r="E4" i="49" s="1"/>
  <c r="C43" i="27"/>
  <c r="C43" i="26" s="1"/>
  <c r="Z43" i="27"/>
  <c r="Z43" i="26" s="1"/>
  <c r="Q4" i="49" s="1"/>
  <c r="K41" i="27"/>
  <c r="K41" i="26" s="1"/>
  <c r="B2" i="49" s="1"/>
  <c r="P46" i="27"/>
  <c r="P46" i="26" s="1"/>
  <c r="G7" i="49" s="1"/>
  <c r="U42" i="27"/>
  <c r="U42" i="26" s="1"/>
  <c r="L3" i="49" s="1"/>
  <c r="N42" i="27"/>
  <c r="N42" i="26" s="1"/>
  <c r="E3" i="49" s="1"/>
  <c r="P45" i="27"/>
  <c r="P45" i="26" s="1"/>
  <c r="G6" i="49" s="1"/>
  <c r="Z45" i="27"/>
  <c r="Z45" i="26" s="1"/>
  <c r="Q6" i="49" s="1"/>
  <c r="K44" i="27"/>
  <c r="K44" i="26" s="1"/>
  <c r="B5" i="49" s="1"/>
  <c r="AP41" i="27"/>
  <c r="AP41" i="26" s="1"/>
  <c r="AG2" i="49" s="1"/>
  <c r="L43" i="27"/>
  <c r="L43" i="26" s="1"/>
  <c r="C4" i="49" s="1"/>
  <c r="C42" i="27"/>
  <c r="C42" i="26" s="1"/>
  <c r="K43" i="27"/>
  <c r="K43" i="26" s="1"/>
  <c r="B4" i="49" s="1"/>
  <c r="P43" i="27"/>
  <c r="P43" i="26" s="1"/>
  <c r="G4" i="49" s="1"/>
  <c r="P44" i="27"/>
  <c r="P44" i="26" s="1"/>
  <c r="G5" i="49" s="1"/>
  <c r="AJ41" i="27"/>
  <c r="AJ41" i="26" s="1"/>
  <c r="AA2" i="49" s="1"/>
  <c r="Z46" i="27"/>
  <c r="Z46" i="26" s="1"/>
  <c r="Q7" i="49" s="1"/>
  <c r="AD41" i="27"/>
  <c r="AD41" i="26" s="1"/>
  <c r="U2" i="49" s="1"/>
  <c r="K46" i="27"/>
  <c r="K46" i="26" s="1"/>
  <c r="B7" i="49" s="1"/>
  <c r="S41" i="27"/>
  <c r="S41" i="26" s="1"/>
  <c r="J2" i="49" s="1"/>
  <c r="AK42" i="27"/>
  <c r="AK42" i="26" s="1"/>
  <c r="AB3" i="49" s="1"/>
  <c r="R43" i="27"/>
  <c r="R43" i="26" s="1"/>
  <c r="I4" i="49" s="1"/>
  <c r="R42" i="27"/>
  <c r="R42" i="26" s="1"/>
  <c r="I3" i="49" s="1"/>
  <c r="AS41" i="27"/>
  <c r="AS41" i="26" s="1"/>
  <c r="AJ2" i="49" s="1"/>
  <c r="AD44" i="27"/>
  <c r="AD44" i="26" s="1"/>
  <c r="U5" i="49" s="1"/>
  <c r="AG43" i="27"/>
  <c r="AG43" i="26" s="1"/>
  <c r="X4" i="49" s="1"/>
  <c r="I46" i="27"/>
  <c r="I46" i="26" s="1"/>
  <c r="AL45" i="27"/>
  <c r="AL45" i="26" s="1"/>
  <c r="AC6" i="49" s="1"/>
  <c r="G43" i="27"/>
  <c r="G43" i="26" s="1"/>
  <c r="G45" i="27"/>
  <c r="G45" i="26" s="1"/>
  <c r="AB42" i="27"/>
  <c r="AB42" i="26" s="1"/>
  <c r="S3" i="49" s="1"/>
  <c r="D46" i="27"/>
  <c r="D46" i="26" s="1"/>
  <c r="AN46" i="27"/>
  <c r="AN46" i="26" s="1"/>
  <c r="AE7" i="49" s="1"/>
  <c r="AQ46" i="27"/>
  <c r="AQ46" i="26" s="1"/>
  <c r="AH7" i="49" s="1"/>
  <c r="AS43" i="27"/>
  <c r="AS43" i="26" s="1"/>
  <c r="AJ4" i="49" s="1"/>
  <c r="AC41" i="27"/>
  <c r="AC41" i="26" s="1"/>
  <c r="T2" i="49" s="1"/>
  <c r="T44" i="27"/>
  <c r="T44" i="26" s="1"/>
  <c r="K5" i="49" s="1"/>
  <c r="AS42" i="27"/>
  <c r="AS42" i="26" s="1"/>
  <c r="AJ3" i="49" s="1"/>
  <c r="S42" i="27"/>
  <c r="S42" i="26" s="1"/>
  <c r="J3" i="49" s="1"/>
  <c r="V41" i="27"/>
  <c r="V41" i="26" s="1"/>
  <c r="M2" i="49" s="1"/>
  <c r="Q43" i="27"/>
  <c r="Q43" i="26" s="1"/>
  <c r="H4" i="49" s="1"/>
  <c r="G46" i="27"/>
  <c r="G46" i="26" s="1"/>
  <c r="F45" i="27"/>
  <c r="F45" i="26" s="1"/>
  <c r="AT42" i="27"/>
  <c r="AT42" i="26" s="1"/>
  <c r="AK3" i="49" s="1"/>
  <c r="AO43" i="27"/>
  <c r="AO43" i="26" s="1"/>
  <c r="AF4" i="49" s="1"/>
  <c r="AT41" i="27"/>
  <c r="AT41" i="26" s="1"/>
  <c r="AK2" i="49" s="1"/>
  <c r="AO41" i="27"/>
  <c r="AO41" i="26" s="1"/>
  <c r="AF2" i="49" s="1"/>
  <c r="AT46" i="27"/>
  <c r="AT46" i="26" s="1"/>
  <c r="AK7" i="49" s="1"/>
  <c r="O42" i="27"/>
  <c r="O42" i="26" s="1"/>
  <c r="F3" i="49" s="1"/>
  <c r="AK43" i="27"/>
  <c r="AK43" i="26" s="1"/>
  <c r="AB4" i="49" s="1"/>
  <c r="AG45" i="27"/>
  <c r="AG45" i="26" s="1"/>
  <c r="X6" i="49" s="1"/>
  <c r="T45" i="27"/>
  <c r="T45" i="26" s="1"/>
  <c r="K6" i="49" s="1"/>
  <c r="E44" i="27"/>
  <c r="E44" i="26" s="1"/>
  <c r="AC46" i="27"/>
  <c r="AC46" i="26" s="1"/>
  <c r="T7" i="49" s="1"/>
  <c r="D45" i="27"/>
  <c r="D45" i="26" s="1"/>
  <c r="AQ42" i="27"/>
  <c r="AQ42" i="26" s="1"/>
  <c r="AH3" i="49" s="1"/>
  <c r="AE46" i="27"/>
  <c r="AE46" i="26" s="1"/>
  <c r="V7" i="49" s="1"/>
  <c r="AG41" i="27"/>
  <c r="AG41" i="26" s="1"/>
  <c r="X2" i="49" s="1"/>
  <c r="V45" i="27"/>
  <c r="V45" i="26" s="1"/>
  <c r="M6" i="49" s="1"/>
  <c r="AJ46" i="27"/>
  <c r="AJ46" i="26" s="1"/>
  <c r="AA7" i="49" s="1"/>
  <c r="AF44" i="27"/>
  <c r="AF44" i="26" s="1"/>
  <c r="W5" i="49" s="1"/>
  <c r="J41" i="27"/>
  <c r="J41" i="26" s="1"/>
  <c r="H44" i="27"/>
  <c r="H44" i="26" s="1"/>
  <c r="AO42" i="27"/>
  <c r="AO42" i="26" s="1"/>
  <c r="AF3" i="49" s="1"/>
  <c r="AB44" i="27"/>
  <c r="AB44" i="26" s="1"/>
  <c r="S5" i="49" s="1"/>
  <c r="L42" i="27"/>
  <c r="L42" i="26" s="1"/>
  <c r="C3" i="49" s="1"/>
  <c r="Q42" i="27"/>
  <c r="Q42" i="26" s="1"/>
  <c r="H3" i="49" s="1"/>
  <c r="G44" i="27"/>
  <c r="G44" i="26" s="1"/>
  <c r="AU46" i="27"/>
  <c r="AU46" i="26" s="1"/>
  <c r="AL7" i="49" s="1"/>
  <c r="AM46" i="27"/>
  <c r="AM46" i="26" s="1"/>
  <c r="AD7" i="49" s="1"/>
  <c r="AR42" i="27"/>
  <c r="AR42" i="26" s="1"/>
  <c r="AI3" i="49" s="1"/>
  <c r="AK45" i="27"/>
  <c r="AK45" i="26" s="1"/>
  <c r="AB6" i="49" s="1"/>
  <c r="AE41" i="27"/>
  <c r="AE41" i="26" s="1"/>
  <c r="V2" i="49" s="1"/>
  <c r="T41" i="27"/>
  <c r="T41" i="26" s="1"/>
  <c r="K2" i="49" s="1"/>
  <c r="AR46" i="27"/>
  <c r="AR46" i="26" s="1"/>
  <c r="AI7" i="49" s="1"/>
  <c r="AB46" i="27"/>
  <c r="AB46" i="26" s="1"/>
  <c r="S7" i="49" s="1"/>
  <c r="X41" i="27"/>
  <c r="X41" i="26" s="1"/>
  <c r="O2" i="49" s="1"/>
  <c r="F44" i="27"/>
  <c r="F44" i="26" s="1"/>
  <c r="AU45" i="27"/>
  <c r="AU45" i="26" s="1"/>
  <c r="AL6" i="49" s="1"/>
  <c r="AM44" i="27"/>
  <c r="AM44" i="26" s="1"/>
  <c r="AD5" i="49" s="1"/>
  <c r="R45" i="27"/>
  <c r="R45" i="26" s="1"/>
  <c r="I6" i="49" s="1"/>
  <c r="T46" i="27"/>
  <c r="T46" i="26" s="1"/>
  <c r="K7" i="49" s="1"/>
  <c r="AH42" i="27"/>
  <c r="AH42" i="26" s="1"/>
  <c r="Y3" i="49" s="1"/>
  <c r="AB41" i="27"/>
  <c r="AB41" i="26" s="1"/>
  <c r="S2" i="49" s="1"/>
  <c r="E41" i="27"/>
  <c r="E41" i="26" s="1"/>
  <c r="I45" i="27"/>
  <c r="I45" i="26" s="1"/>
  <c r="AN44" i="27"/>
  <c r="AN44" i="26" s="1"/>
  <c r="AE5" i="49" s="1"/>
  <c r="E42" i="27"/>
  <c r="E42" i="26" s="1"/>
  <c r="D44" i="27"/>
  <c r="D44" i="26" s="1"/>
  <c r="AR41" i="27"/>
  <c r="AR41" i="26" s="1"/>
  <c r="AI2" i="49" s="1"/>
  <c r="AH45" i="27"/>
  <c r="AH45" i="26" s="1"/>
  <c r="Y6" i="49" s="1"/>
  <c r="AH43" i="27"/>
  <c r="AH43" i="26" s="1"/>
  <c r="Y4" i="49" s="1"/>
  <c r="AD46" i="27"/>
  <c r="AD46" i="26" s="1"/>
  <c r="U7" i="49" s="1"/>
  <c r="AR45" i="27"/>
  <c r="AR45" i="26" s="1"/>
  <c r="AI6" i="49" s="1"/>
  <c r="AD45" i="27"/>
  <c r="AD45" i="26" s="1"/>
  <c r="U6" i="49" s="1"/>
  <c r="AR44" i="27"/>
  <c r="AR44" i="26" s="1"/>
  <c r="AI5" i="49" s="1"/>
  <c r="F42" i="27"/>
  <c r="F42" i="26" s="1"/>
  <c r="AH44" i="27"/>
  <c r="AH44" i="26" s="1"/>
  <c r="Y5" i="49" s="1"/>
  <c r="AB43" i="27"/>
  <c r="AB43" i="26" s="1"/>
  <c r="S4" i="49" s="1"/>
  <c r="R46" i="27"/>
  <c r="R46" i="26" s="1"/>
  <c r="I7" i="49" s="1"/>
  <c r="L44" i="27"/>
  <c r="L44" i="26" s="1"/>
  <c r="C5" i="49" s="1"/>
  <c r="U44" i="27"/>
  <c r="U44" i="26" s="1"/>
  <c r="L5" i="49" s="1"/>
  <c r="Y45" i="27"/>
  <c r="Y45" i="26" s="1"/>
  <c r="P6" i="49" s="1"/>
  <c r="AN41" i="27"/>
  <c r="AN41" i="26" s="1"/>
  <c r="AE2" i="49" s="1"/>
  <c r="AQ44" i="27"/>
  <c r="AQ44" i="26" s="1"/>
  <c r="AH5" i="49" s="1"/>
  <c r="T43" i="27"/>
  <c r="T43" i="26" s="1"/>
  <c r="K4" i="49" s="1"/>
  <c r="AQ43" i="27"/>
  <c r="AQ43" i="26" s="1"/>
  <c r="AH4" i="49" s="1"/>
  <c r="AE44" i="27"/>
  <c r="AE44" i="26" s="1"/>
  <c r="V5" i="49" s="1"/>
  <c r="AC44" i="27"/>
  <c r="AC44" i="26" s="1"/>
  <c r="T5" i="49" s="1"/>
  <c r="I41" i="27"/>
  <c r="I41" i="26" s="1"/>
  <c r="AE43" i="27"/>
  <c r="AE43" i="26" s="1"/>
  <c r="V4" i="49" s="1"/>
  <c r="AC43" i="27"/>
  <c r="AC43" i="26" s="1"/>
  <c r="T4" i="49" s="1"/>
  <c r="S45" i="27"/>
  <c r="S45" i="26" s="1"/>
  <c r="J6" i="49" s="1"/>
  <c r="W41" i="27"/>
  <c r="W41" i="26" s="1"/>
  <c r="N2" i="49" s="1"/>
  <c r="AO44" i="27"/>
  <c r="AO44" i="26" s="1"/>
  <c r="AF5" i="49" s="1"/>
  <c r="AE45" i="27"/>
  <c r="AE45" i="26" s="1"/>
  <c r="V6" i="49" s="1"/>
  <c r="O41" i="27"/>
  <c r="O41" i="26" s="1"/>
  <c r="F2" i="49" s="1"/>
  <c r="AK44" i="27"/>
  <c r="AK44" i="26" s="1"/>
  <c r="AB5" i="49" s="1"/>
  <c r="AG46" i="27"/>
  <c r="AG46" i="26" s="1"/>
  <c r="X7" i="49" s="1"/>
  <c r="AH41" i="27"/>
  <c r="AH41" i="26" s="1"/>
  <c r="Y2" i="49" s="1"/>
  <c r="AS45" i="27"/>
  <c r="AS45" i="26" s="1"/>
  <c r="AJ6" i="49" s="1"/>
  <c r="AO45" i="27"/>
  <c r="AO45" i="26" s="1"/>
  <c r="AF6" i="49" s="1"/>
  <c r="Y46" i="27"/>
  <c r="Y46" i="26" s="1"/>
  <c r="P7" i="49" s="1"/>
  <c r="AA45" i="27"/>
  <c r="AA45" i="26" s="1"/>
  <c r="R6" i="49" s="1"/>
  <c r="W43" i="27"/>
  <c r="W43" i="26" s="1"/>
  <c r="N4" i="49" s="1"/>
  <c r="AG42" i="27"/>
  <c r="AG42" i="26" s="1"/>
  <c r="X3" i="49" s="1"/>
  <c r="I42" i="27"/>
  <c r="I42" i="26" s="1"/>
  <c r="R41" i="27"/>
  <c r="R41" i="26" s="1"/>
  <c r="I2" i="49" s="1"/>
  <c r="D42" i="27"/>
  <c r="D42" i="26" s="1"/>
  <c r="D43" i="27"/>
  <c r="D43" i="26" s="1"/>
  <c r="E46" i="27"/>
  <c r="E46" i="26" s="1"/>
  <c r="V44" i="27"/>
  <c r="V44" i="26" s="1"/>
  <c r="M5" i="49" s="1"/>
  <c r="V42" i="27"/>
  <c r="V42" i="26" s="1"/>
  <c r="M3" i="49" s="1"/>
  <c r="I44" i="27"/>
  <c r="I44" i="26" s="1"/>
  <c r="X46" i="27"/>
  <c r="X46" i="26" s="1"/>
  <c r="O7" i="49" s="1"/>
  <c r="AQ45" i="27"/>
  <c r="AQ45" i="26" s="1"/>
  <c r="AH6" i="49" s="1"/>
  <c r="X42" i="27"/>
  <c r="X42" i="26" s="1"/>
  <c r="O3" i="49" s="1"/>
  <c r="AQ41" i="27"/>
  <c r="AQ41" i="26" s="1"/>
  <c r="AH2" i="49" s="1"/>
  <c r="V46" i="27"/>
  <c r="V46" i="26" s="1"/>
  <c r="M7" i="49" s="1"/>
  <c r="AN45" i="27"/>
  <c r="AN45" i="26" s="1"/>
  <c r="AE6" i="49" s="1"/>
  <c r="AC42" i="27"/>
  <c r="AC42" i="26" s="1"/>
  <c r="T3" i="49" s="1"/>
  <c r="E45" i="27"/>
  <c r="E45" i="26" s="1"/>
  <c r="AN43" i="27"/>
  <c r="AN43" i="26" s="1"/>
  <c r="AE4" i="49" s="1"/>
  <c r="V43" i="27"/>
  <c r="V43" i="26" s="1"/>
  <c r="M4" i="49" s="1"/>
  <c r="AS44" i="27"/>
  <c r="AS44" i="26" s="1"/>
  <c r="AJ5" i="49" s="1"/>
  <c r="D41" i="27"/>
  <c r="D41" i="26" s="1"/>
  <c r="AE42" i="27"/>
  <c r="AE42" i="26" s="1"/>
  <c r="V3" i="49" s="1"/>
  <c r="X45" i="27"/>
  <c r="X45" i="26" s="1"/>
  <c r="O6" i="49" s="1"/>
  <c r="AN42" i="27"/>
  <c r="AN42" i="26" s="1"/>
  <c r="AE3" i="49" s="1"/>
  <c r="E43" i="27"/>
  <c r="E43" i="26" s="1"/>
  <c r="AC45" i="27"/>
  <c r="AC45" i="26" s="1"/>
  <c r="T6" i="49" s="1"/>
  <c r="AS46" i="27"/>
  <c r="AS46" i="26" s="1"/>
  <c r="AJ7" i="49" s="1"/>
  <c r="S43" i="27"/>
  <c r="S43" i="26" s="1"/>
  <c r="J4" i="49" s="1"/>
  <c r="E15" i="27"/>
  <c r="E15" i="26" s="1"/>
  <c r="AB18" i="27"/>
  <c r="AB18" i="26" s="1"/>
  <c r="S6" i="46" s="1"/>
  <c r="R14" i="27"/>
  <c r="R14" i="26" s="1"/>
  <c r="I2" i="46" s="1"/>
  <c r="AH16" i="27"/>
  <c r="AH16" i="26" s="1"/>
  <c r="Y4" i="46" s="1"/>
  <c r="AU17" i="27"/>
  <c r="AU17" i="26" s="1"/>
  <c r="AL5" i="46" s="1"/>
  <c r="AD17" i="27"/>
  <c r="AD17" i="26" s="1"/>
  <c r="U5" i="46" s="1"/>
  <c r="O16" i="27"/>
  <c r="O16" i="26" s="1"/>
  <c r="F4" i="46" s="1"/>
  <c r="F17" i="27"/>
  <c r="F17" i="26" s="1"/>
  <c r="G14" i="27"/>
  <c r="G14" i="26" s="1"/>
  <c r="U18" i="27"/>
  <c r="U18" i="26" s="1"/>
  <c r="L6" i="46" s="1"/>
  <c r="J14" i="27"/>
  <c r="J14" i="26" s="1"/>
  <c r="Q15" i="27"/>
  <c r="Q15" i="26" s="1"/>
  <c r="H3" i="46" s="1"/>
  <c r="AF17" i="27"/>
  <c r="AF17" i="26" s="1"/>
  <c r="W5" i="46" s="1"/>
  <c r="AA17" i="27"/>
  <c r="AA17" i="26" s="1"/>
  <c r="R5" i="46" s="1"/>
  <c r="AJ19" i="27"/>
  <c r="AJ19" i="26" s="1"/>
  <c r="AA7" i="46" s="1"/>
  <c r="AI14" i="27"/>
  <c r="AI14" i="26" s="1"/>
  <c r="Z2" i="46" s="1"/>
  <c r="W17" i="27"/>
  <c r="W17" i="26" s="1"/>
  <c r="N5" i="46" s="1"/>
  <c r="AU18" i="27"/>
  <c r="AU18" i="26" s="1"/>
  <c r="AL6" i="46" s="1"/>
  <c r="O18" i="27"/>
  <c r="O18" i="26" s="1"/>
  <c r="F6" i="46" s="1"/>
  <c r="H14" i="27"/>
  <c r="H14" i="26" s="1"/>
  <c r="Y16" i="27"/>
  <c r="Y16" i="26" s="1"/>
  <c r="P4" i="46" s="1"/>
  <c r="F19" i="27"/>
  <c r="F19" i="26" s="1"/>
  <c r="Z17" i="27"/>
  <c r="Z17" i="26" s="1"/>
  <c r="Q5" i="46" s="1"/>
  <c r="G15" i="27"/>
  <c r="G15" i="26" s="1"/>
  <c r="U19" i="27"/>
  <c r="U19" i="26" s="1"/>
  <c r="L7" i="46" s="1"/>
  <c r="J17" i="27"/>
  <c r="J17" i="26" s="1"/>
  <c r="Q16" i="27"/>
  <c r="Q16" i="26" s="1"/>
  <c r="H4" i="46" s="1"/>
  <c r="AL15" i="27"/>
  <c r="AL15" i="26" s="1"/>
  <c r="AC3" i="46" s="1"/>
  <c r="AF18" i="27"/>
  <c r="AF18" i="26" s="1"/>
  <c r="W6" i="46" s="1"/>
  <c r="AA18" i="27"/>
  <c r="AA18" i="26" s="1"/>
  <c r="R6" i="46" s="1"/>
  <c r="N14" i="27"/>
  <c r="N14" i="26" s="1"/>
  <c r="E2" i="46" s="1"/>
  <c r="C14" i="27"/>
  <c r="C14" i="26" s="1"/>
  <c r="AI15" i="27"/>
  <c r="AI15" i="26" s="1"/>
  <c r="Z3" i="46" s="1"/>
  <c r="K19" i="27"/>
  <c r="K19" i="26" s="1"/>
  <c r="B7" i="46" s="1"/>
  <c r="Z14" i="27"/>
  <c r="Z14" i="26" s="1"/>
  <c r="Q2" i="46" s="1"/>
  <c r="AM16" i="27"/>
  <c r="AM16" i="26" s="1"/>
  <c r="AD4" i="46" s="1"/>
  <c r="O15" i="27"/>
  <c r="O15" i="26" s="1"/>
  <c r="F3" i="46" s="1"/>
  <c r="W18" i="27"/>
  <c r="W18" i="26" s="1"/>
  <c r="N6" i="46" s="1"/>
  <c r="AU19" i="27"/>
  <c r="AU19" i="26" s="1"/>
  <c r="AL7" i="46" s="1"/>
  <c r="G18" i="27"/>
  <c r="G18" i="26" s="1"/>
  <c r="O19" i="27"/>
  <c r="O19" i="26" s="1"/>
  <c r="F7" i="46" s="1"/>
  <c r="H17" i="27"/>
  <c r="H17" i="26" s="1"/>
  <c r="Y17" i="27"/>
  <c r="Y17" i="26" s="1"/>
  <c r="P5" i="46" s="1"/>
  <c r="AD18" i="27"/>
  <c r="AD18" i="26" s="1"/>
  <c r="U6" i="46" s="1"/>
  <c r="G16" i="27"/>
  <c r="G16" i="26" s="1"/>
  <c r="J19" i="27"/>
  <c r="J19" i="26" s="1"/>
  <c r="AD14" i="27"/>
  <c r="AD14" i="26" s="1"/>
  <c r="U2" i="46" s="1"/>
  <c r="S18" i="27"/>
  <c r="S18" i="26" s="1"/>
  <c r="J6" i="46" s="1"/>
  <c r="AL17" i="27"/>
  <c r="AL17" i="26" s="1"/>
  <c r="AC5" i="46" s="1"/>
  <c r="L14" i="27"/>
  <c r="L14" i="26" s="1"/>
  <c r="C2" i="46" s="1"/>
  <c r="AF19" i="27"/>
  <c r="AF19" i="26" s="1"/>
  <c r="W7" i="46" s="1"/>
  <c r="AA19" i="27"/>
  <c r="AA19" i="26" s="1"/>
  <c r="R7" i="46" s="1"/>
  <c r="M15" i="27"/>
  <c r="M15" i="26" s="1"/>
  <c r="D3" i="46" s="1"/>
  <c r="N16" i="27"/>
  <c r="N16" i="26" s="1"/>
  <c r="E4" i="46" s="1"/>
  <c r="C15" i="27"/>
  <c r="C15" i="26" s="1"/>
  <c r="AI17" i="27"/>
  <c r="AI17" i="26" s="1"/>
  <c r="Z5" i="46" s="1"/>
  <c r="K18" i="27"/>
  <c r="K18" i="26" s="1"/>
  <c r="B6" i="46" s="1"/>
  <c r="P18" i="27"/>
  <c r="P18" i="26" s="1"/>
  <c r="G6" i="46" s="1"/>
  <c r="AP17" i="27"/>
  <c r="AP17" i="26" s="1"/>
  <c r="AG5" i="46" s="1"/>
  <c r="AK14" i="27"/>
  <c r="AK14" i="26" s="1"/>
  <c r="AB2" i="46" s="1"/>
  <c r="AM17" i="27"/>
  <c r="AM17" i="26" s="1"/>
  <c r="AD5" i="46" s="1"/>
  <c r="W19" i="27"/>
  <c r="W19" i="26" s="1"/>
  <c r="N7" i="46" s="1"/>
  <c r="H18" i="27"/>
  <c r="H18" i="26" s="1"/>
  <c r="F18" i="27"/>
  <c r="F18" i="26" s="1"/>
  <c r="Y18" i="27"/>
  <c r="Y18" i="26" s="1"/>
  <c r="P6" i="46" s="1"/>
  <c r="AD15" i="27"/>
  <c r="AD15" i="26" s="1"/>
  <c r="U3" i="46" s="1"/>
  <c r="AL18" i="27"/>
  <c r="AL18" i="26" s="1"/>
  <c r="AC6" i="46" s="1"/>
  <c r="L15" i="27"/>
  <c r="L15" i="26" s="1"/>
  <c r="C3" i="46" s="1"/>
  <c r="M17" i="27"/>
  <c r="M17" i="26" s="1"/>
  <c r="D5" i="46" s="1"/>
  <c r="N17" i="27"/>
  <c r="N17" i="26" s="1"/>
  <c r="E5" i="46" s="1"/>
  <c r="C16" i="27"/>
  <c r="C16" i="26" s="1"/>
  <c r="AI18" i="27"/>
  <c r="AI18" i="26" s="1"/>
  <c r="Z6" i="46" s="1"/>
  <c r="AP16" i="27"/>
  <c r="AP16" i="26" s="1"/>
  <c r="AG4" i="46" s="1"/>
  <c r="AK17" i="27"/>
  <c r="AK17" i="26" s="1"/>
  <c r="AB5" i="46" s="1"/>
  <c r="AM18" i="27"/>
  <c r="AM18" i="26" s="1"/>
  <c r="AD6" i="46" s="1"/>
  <c r="AT14" i="27"/>
  <c r="AT14" i="26" s="1"/>
  <c r="AK2" i="46" s="1"/>
  <c r="H19" i="27"/>
  <c r="H19" i="26" s="1"/>
  <c r="Y19" i="27"/>
  <c r="Y19" i="26" s="1"/>
  <c r="P7" i="46" s="1"/>
  <c r="AD16" i="27"/>
  <c r="AD16" i="26" s="1"/>
  <c r="U4" i="46" s="1"/>
  <c r="AL19" i="27"/>
  <c r="AL19" i="26" s="1"/>
  <c r="AC7" i="46" s="1"/>
  <c r="L16" i="27"/>
  <c r="L16" i="26" s="1"/>
  <c r="C4" i="46" s="1"/>
  <c r="M18" i="27"/>
  <c r="M18" i="26" s="1"/>
  <c r="D6" i="46" s="1"/>
  <c r="AJ14" i="27"/>
  <c r="AJ14" i="26" s="1"/>
  <c r="AA2" i="46" s="1"/>
  <c r="N18" i="27"/>
  <c r="N18" i="26" s="1"/>
  <c r="E6" i="46" s="1"/>
  <c r="C17" i="27"/>
  <c r="C17" i="26" s="1"/>
  <c r="P15" i="27"/>
  <c r="P15" i="26" s="1"/>
  <c r="G3" i="46" s="1"/>
  <c r="P19" i="27"/>
  <c r="P19" i="26" s="1"/>
  <c r="G7" i="46" s="1"/>
  <c r="K15" i="27"/>
  <c r="K15" i="26" s="1"/>
  <c r="B3" i="46" s="1"/>
  <c r="K17" i="27"/>
  <c r="K17" i="26" s="1"/>
  <c r="B5" i="46" s="1"/>
  <c r="AU14" i="27"/>
  <c r="AU14" i="26" s="1"/>
  <c r="AL2" i="46" s="1"/>
  <c r="AT16" i="27"/>
  <c r="AT16" i="26" s="1"/>
  <c r="AK4" i="46" s="1"/>
  <c r="L17" i="27"/>
  <c r="L17" i="26" s="1"/>
  <c r="C5" i="46" s="1"/>
  <c r="AF14" i="27"/>
  <c r="AF14" i="26" s="1"/>
  <c r="W2" i="46" s="1"/>
  <c r="S19" i="27"/>
  <c r="S19" i="26" s="1"/>
  <c r="J7" i="46" s="1"/>
  <c r="AJ15" i="27"/>
  <c r="AJ15" i="26" s="1"/>
  <c r="AA3" i="46" s="1"/>
  <c r="N19" i="27"/>
  <c r="N19" i="26" s="1"/>
  <c r="E7" i="46" s="1"/>
  <c r="C18" i="27"/>
  <c r="C18" i="26" s="1"/>
  <c r="Z16" i="27"/>
  <c r="Z16" i="26" s="1"/>
  <c r="Q4" i="46" s="1"/>
  <c r="P16" i="27"/>
  <c r="P16" i="26" s="1"/>
  <c r="G4" i="46" s="1"/>
  <c r="AU15" i="27"/>
  <c r="AU15" i="26" s="1"/>
  <c r="AL3" i="46" s="1"/>
  <c r="AT19" i="27"/>
  <c r="AT19" i="26" s="1"/>
  <c r="AK7" i="46" s="1"/>
  <c r="F15" i="27"/>
  <c r="F15" i="26" s="1"/>
  <c r="AU16" i="27"/>
  <c r="AU16" i="26" s="1"/>
  <c r="AL4" i="46" s="1"/>
  <c r="F16" i="27"/>
  <c r="F16" i="26" s="1"/>
  <c r="U17" i="27"/>
  <c r="U17" i="26" s="1"/>
  <c r="L5" i="46" s="1"/>
  <c r="Q14" i="27"/>
  <c r="Q14" i="26" s="1"/>
  <c r="H2" i="46" s="1"/>
  <c r="L19" i="27"/>
  <c r="L19" i="26" s="1"/>
  <c r="C7" i="46" s="1"/>
  <c r="AF16" i="27"/>
  <c r="AF16" i="26" s="1"/>
  <c r="W4" i="46" s="1"/>
  <c r="AA16" i="27"/>
  <c r="AA16" i="26" s="1"/>
  <c r="R4" i="46" s="1"/>
  <c r="AJ18" i="27"/>
  <c r="AJ18" i="26" s="1"/>
  <c r="AA6" i="46" s="1"/>
  <c r="Z18" i="27"/>
  <c r="Z18" i="26" s="1"/>
  <c r="Q6" i="46" s="1"/>
  <c r="Z15" i="27"/>
  <c r="Z15" i="26" s="1"/>
  <c r="Q3" i="46" s="1"/>
  <c r="AP14" i="27"/>
  <c r="AP14" i="26" s="1"/>
  <c r="AG2" i="46" s="1"/>
  <c r="P17" i="27"/>
  <c r="P17" i="26" s="1"/>
  <c r="G5" i="46" s="1"/>
  <c r="AP19" i="27"/>
  <c r="AP19" i="26" s="1"/>
  <c r="AG7" i="46" s="1"/>
  <c r="AP15" i="27"/>
  <c r="AP15" i="26" s="1"/>
  <c r="AG3" i="46" s="1"/>
  <c r="L18" i="27"/>
  <c r="L18" i="26" s="1"/>
  <c r="C6" i="46" s="1"/>
  <c r="C19" i="27"/>
  <c r="C19" i="26" s="1"/>
  <c r="Z19" i="27"/>
  <c r="Z19" i="26" s="1"/>
  <c r="Q7" i="46" s="1"/>
  <c r="K16" i="27"/>
  <c r="K16" i="26" s="1"/>
  <c r="B4" i="46" s="1"/>
  <c r="AF15" i="27"/>
  <c r="AF15" i="26" s="1"/>
  <c r="W3" i="46" s="1"/>
  <c r="AJ17" i="27"/>
  <c r="AJ17" i="26" s="1"/>
  <c r="AA5" i="46" s="1"/>
  <c r="P14" i="27"/>
  <c r="P14" i="26" s="1"/>
  <c r="G2" i="46" s="1"/>
  <c r="AP18" i="27"/>
  <c r="AP18" i="26" s="1"/>
  <c r="AG6" i="46" s="1"/>
  <c r="U14" i="27"/>
  <c r="U14" i="26" s="1"/>
  <c r="L2" i="46" s="1"/>
  <c r="AA14" i="27"/>
  <c r="AA14" i="26" s="1"/>
  <c r="R2" i="46" s="1"/>
  <c r="K14" i="27"/>
  <c r="K14" i="26" s="1"/>
  <c r="B2" i="46" s="1"/>
  <c r="AO19" i="27"/>
  <c r="AO19" i="26" s="1"/>
  <c r="AF7" i="46" s="1"/>
  <c r="AI16" i="27"/>
  <c r="AI16" i="26" s="1"/>
  <c r="Z4" i="46" s="1"/>
  <c r="U16" i="27"/>
  <c r="U16" i="26" s="1"/>
  <c r="L4" i="46" s="1"/>
  <c r="Y14" i="27"/>
  <c r="Y14" i="26" s="1"/>
  <c r="P2" i="46" s="1"/>
  <c r="M14" i="27"/>
  <c r="M14" i="26" s="1"/>
  <c r="D2" i="46" s="1"/>
  <c r="Q17" i="27"/>
  <c r="Q17" i="26" s="1"/>
  <c r="H5" i="46" s="1"/>
  <c r="R15" i="27"/>
  <c r="R15" i="26" s="1"/>
  <c r="I3" i="46" s="1"/>
  <c r="AM14" i="27"/>
  <c r="AM14" i="26" s="1"/>
  <c r="AD2" i="46" s="1"/>
  <c r="AK16" i="27"/>
  <c r="AK16" i="26" s="1"/>
  <c r="AB4" i="46" s="1"/>
  <c r="AO14" i="27"/>
  <c r="AO14" i="26" s="1"/>
  <c r="AF2" i="46" s="1"/>
  <c r="V18" i="27"/>
  <c r="V18" i="26" s="1"/>
  <c r="M6" i="46" s="1"/>
  <c r="AS18" i="27"/>
  <c r="AS18" i="26" s="1"/>
  <c r="AJ6" i="46" s="1"/>
  <c r="AC17" i="27"/>
  <c r="AC17" i="26" s="1"/>
  <c r="T5" i="46" s="1"/>
  <c r="E14" i="27"/>
  <c r="E14" i="26" s="1"/>
  <c r="E17" i="27"/>
  <c r="E17" i="26" s="1"/>
  <c r="X19" i="27"/>
  <c r="X19" i="26" s="1"/>
  <c r="O7" i="46" s="1"/>
  <c r="S14" i="27"/>
  <c r="S14" i="26" s="1"/>
  <c r="J2" i="46" s="1"/>
  <c r="AK19" i="27"/>
  <c r="AK19" i="26" s="1"/>
  <c r="AB7" i="46" s="1"/>
  <c r="AK18" i="27"/>
  <c r="AK18" i="26" s="1"/>
  <c r="AB6" i="46" s="1"/>
  <c r="N15" i="27"/>
  <c r="N15" i="26" s="1"/>
  <c r="E3" i="46" s="1"/>
  <c r="AA15" i="27"/>
  <c r="AA15" i="26" s="1"/>
  <c r="R3" i="46" s="1"/>
  <c r="G19" i="27"/>
  <c r="G19" i="26" s="1"/>
  <c r="F14" i="27"/>
  <c r="F14" i="26" s="1"/>
  <c r="AG14" i="27"/>
  <c r="AG14" i="26" s="1"/>
  <c r="X2" i="46" s="1"/>
  <c r="AE17" i="27"/>
  <c r="AE17" i="26" s="1"/>
  <c r="V5" i="46" s="1"/>
  <c r="R18" i="27"/>
  <c r="R18" i="26" s="1"/>
  <c r="I6" i="46" s="1"/>
  <c r="T15" i="27"/>
  <c r="T15" i="26" s="1"/>
  <c r="K3" i="46" s="1"/>
  <c r="T18" i="27"/>
  <c r="T18" i="26" s="1"/>
  <c r="K6" i="46" s="1"/>
  <c r="D15" i="27"/>
  <c r="D15" i="26" s="1"/>
  <c r="AG16" i="27"/>
  <c r="AG16" i="26" s="1"/>
  <c r="X4" i="46" s="1"/>
  <c r="AN14" i="27"/>
  <c r="AN14" i="26" s="1"/>
  <c r="AE2" i="46" s="1"/>
  <c r="V15" i="27"/>
  <c r="V15" i="26" s="1"/>
  <c r="M3" i="46" s="1"/>
  <c r="I17" i="27"/>
  <c r="I17" i="26" s="1"/>
  <c r="AC18" i="27"/>
  <c r="AC18" i="26" s="1"/>
  <c r="T6" i="46" s="1"/>
  <c r="X15" i="27"/>
  <c r="X15" i="26" s="1"/>
  <c r="O3" i="46" s="1"/>
  <c r="AQ18" i="27"/>
  <c r="AQ18" i="26" s="1"/>
  <c r="AH6" i="46" s="1"/>
  <c r="AG18" i="27"/>
  <c r="AG18" i="26" s="1"/>
  <c r="X6" i="46" s="1"/>
  <c r="Q19" i="27"/>
  <c r="Q19" i="26" s="1"/>
  <c r="H7" i="46" s="1"/>
  <c r="AT18" i="27"/>
  <c r="AT18" i="26" s="1"/>
  <c r="AK6" i="46" s="1"/>
  <c r="AO18" i="27"/>
  <c r="AO18" i="26" s="1"/>
  <c r="AF6" i="46" s="1"/>
  <c r="U15" i="27"/>
  <c r="U15" i="26" s="1"/>
  <c r="L3" i="46" s="1"/>
  <c r="M19" i="27"/>
  <c r="M19" i="26" s="1"/>
  <c r="D7" i="46" s="1"/>
  <c r="AT17" i="27"/>
  <c r="AT17" i="26" s="1"/>
  <c r="AK5" i="46" s="1"/>
  <c r="AO17" i="27"/>
  <c r="AO17" i="26" s="1"/>
  <c r="AF5" i="46" s="1"/>
  <c r="AL14" i="27"/>
  <c r="AL14" i="26" s="1"/>
  <c r="AH14" i="27"/>
  <c r="AH14" i="26" s="1"/>
  <c r="Y2" i="46" s="1"/>
  <c r="AB16" i="27"/>
  <c r="AB16" i="26" s="1"/>
  <c r="S4" i="46" s="1"/>
  <c r="AB15" i="27"/>
  <c r="AB15" i="26" s="1"/>
  <c r="S3" i="46" s="1"/>
  <c r="S15" i="27"/>
  <c r="S15" i="26" s="1"/>
  <c r="J3" i="46" s="1"/>
  <c r="V14" i="27"/>
  <c r="V14" i="26" s="1"/>
  <c r="M2" i="46" s="1"/>
  <c r="AH15" i="27"/>
  <c r="AH15" i="26" s="1"/>
  <c r="Y3" i="46" s="1"/>
  <c r="J18" i="27"/>
  <c r="J18" i="26" s="1"/>
  <c r="AT15" i="27"/>
  <c r="AT15" i="26" s="1"/>
  <c r="AK3" i="46" s="1"/>
  <c r="AN19" i="27"/>
  <c r="AN19" i="26" s="1"/>
  <c r="AE7" i="46" s="1"/>
  <c r="R17" i="27"/>
  <c r="R17" i="26" s="1"/>
  <c r="I5" i="46" s="1"/>
  <c r="AK15" i="27"/>
  <c r="AK15" i="26" s="1"/>
  <c r="AB3" i="46" s="1"/>
  <c r="AB17" i="27"/>
  <c r="AB17" i="26" s="1"/>
  <c r="S5" i="46" s="1"/>
  <c r="T17" i="27"/>
  <c r="T17" i="26" s="1"/>
  <c r="K5" i="46" s="1"/>
  <c r="X18" i="27"/>
  <c r="X18" i="26" s="1"/>
  <c r="O6" i="46" s="1"/>
  <c r="H16" i="27"/>
  <c r="H16" i="26" s="1"/>
  <c r="Q18" i="27"/>
  <c r="Q18" i="26" s="1"/>
  <c r="H6" i="46" s="1"/>
  <c r="G17" i="27"/>
  <c r="G17" i="26" s="1"/>
  <c r="H15" i="27"/>
  <c r="H15" i="26" s="1"/>
  <c r="AM19" i="27"/>
  <c r="AM19" i="26" s="1"/>
  <c r="AD7" i="46" s="1"/>
  <c r="AR15" i="27"/>
  <c r="AR15" i="26" s="1"/>
  <c r="AI3" i="46" s="1"/>
  <c r="AG19" i="27"/>
  <c r="AG19" i="26" s="1"/>
  <c r="X7" i="46" s="1"/>
  <c r="AJ16" i="27"/>
  <c r="AJ16" i="26" s="1"/>
  <c r="AA4" i="46" s="1"/>
  <c r="T14" i="27"/>
  <c r="T14" i="26" s="1"/>
  <c r="K2" i="46" s="1"/>
  <c r="AG17" i="27"/>
  <c r="AG17" i="26" s="1"/>
  <c r="X5" i="46" s="1"/>
  <c r="T16" i="27"/>
  <c r="T16" i="26" s="1"/>
  <c r="K4" i="46" s="1"/>
  <c r="W16" i="27"/>
  <c r="W16" i="26" s="1"/>
  <c r="N4" i="46" s="1"/>
  <c r="AR17" i="27"/>
  <c r="AR17" i="26" s="1"/>
  <c r="AI5" i="46" s="1"/>
  <c r="AE18" i="27"/>
  <c r="AE18" i="26" s="1"/>
  <c r="V6" i="46" s="1"/>
  <c r="D16" i="27"/>
  <c r="D16" i="26" s="1"/>
  <c r="AC19" i="27"/>
  <c r="AC19" i="26" s="1"/>
  <c r="T7" i="46" s="1"/>
  <c r="D14" i="27"/>
  <c r="D14" i="26" s="1"/>
  <c r="AE19" i="27"/>
  <c r="AE19" i="26" s="1"/>
  <c r="V7" i="46" s="1"/>
  <c r="AL16" i="27"/>
  <c r="AL16" i="26" s="1"/>
  <c r="AC4" i="46" s="1"/>
  <c r="J16" i="27"/>
  <c r="J16" i="26" s="1"/>
  <c r="AD19" i="27"/>
  <c r="AD19" i="26" s="1"/>
  <c r="U7" i="46" s="1"/>
  <c r="R19" i="27"/>
  <c r="R19" i="26" s="1"/>
  <c r="I7" i="46" s="1"/>
  <c r="AO16" i="27"/>
  <c r="AO16" i="26" s="1"/>
  <c r="AF4" i="46" s="1"/>
  <c r="AH19" i="27"/>
  <c r="AH19" i="26" s="1"/>
  <c r="Y7" i="46" s="1"/>
  <c r="V19" i="27"/>
  <c r="V19" i="26" s="1"/>
  <c r="M7" i="46" s="1"/>
  <c r="I15" i="27"/>
  <c r="I15" i="26" s="1"/>
  <c r="AB19" i="27"/>
  <c r="AB19" i="26" s="1"/>
  <c r="S7" i="46" s="1"/>
  <c r="D19" i="27"/>
  <c r="D19" i="26" s="1"/>
  <c r="X16" i="27"/>
  <c r="X16" i="26" s="1"/>
  <c r="O4" i="46" s="1"/>
  <c r="AE14" i="27"/>
  <c r="AE14" i="26" s="1"/>
  <c r="V2" i="46" s="1"/>
  <c r="AC15" i="27"/>
  <c r="AC15" i="26" s="1"/>
  <c r="T3" i="46" s="1"/>
  <c r="AE15" i="27"/>
  <c r="AE15" i="26" s="1"/>
  <c r="V3" i="46" s="1"/>
  <c r="AR16" i="27"/>
  <c r="AR16" i="26" s="1"/>
  <c r="AI4" i="46" s="1"/>
  <c r="X17" i="27"/>
  <c r="X17" i="26" s="1"/>
  <c r="O5" i="46" s="1"/>
  <c r="AI19" i="27"/>
  <c r="AI19" i="26" s="1"/>
  <c r="Z7" i="46" s="1"/>
  <c r="AR14" i="27"/>
  <c r="AR14" i="26" s="1"/>
  <c r="AI2" i="46" s="1"/>
  <c r="V17" i="27"/>
  <c r="V17" i="26" s="1"/>
  <c r="M5" i="46" s="1"/>
  <c r="AH17" i="27"/>
  <c r="AH17" i="26" s="1"/>
  <c r="Y5" i="46" s="1"/>
  <c r="M16" i="27"/>
  <c r="M16" i="26" s="1"/>
  <c r="D4" i="46" s="1"/>
  <c r="S17" i="27"/>
  <c r="S17" i="26" s="1"/>
  <c r="J5" i="46" s="1"/>
  <c r="AN15" i="27"/>
  <c r="AN15" i="26" s="1"/>
  <c r="AE3" i="46" s="1"/>
  <c r="AM15" i="27"/>
  <c r="AM15" i="26" s="1"/>
  <c r="AD3" i="46" s="1"/>
  <c r="I19" i="27"/>
  <c r="I19" i="26" s="1"/>
  <c r="R16" i="27"/>
  <c r="R16" i="26" s="1"/>
  <c r="I4" i="46" s="1"/>
  <c r="AQ17" i="27"/>
  <c r="AQ17" i="26" s="1"/>
  <c r="AH5" i="46" s="1"/>
  <c r="O14" i="27"/>
  <c r="O14" i="26" s="1"/>
  <c r="F2" i="46" s="1"/>
  <c r="W15" i="27"/>
  <c r="W15" i="26" s="1"/>
  <c r="N3" i="46" s="1"/>
  <c r="J15" i="27"/>
  <c r="J15" i="26" s="1"/>
  <c r="W14" i="27"/>
  <c r="W14" i="26" s="1"/>
  <c r="N2" i="46" s="1"/>
  <c r="Y15" i="27"/>
  <c r="Y15" i="26" s="1"/>
  <c r="P3" i="46" s="1"/>
  <c r="O17" i="27"/>
  <c r="O17" i="26" s="1"/>
  <c r="F5" i="46" s="1"/>
  <c r="AS17" i="27"/>
  <c r="AS17" i="26" s="1"/>
  <c r="AJ5" i="46" s="1"/>
  <c r="D18" i="27"/>
  <c r="D18" i="26" s="1"/>
  <c r="AS16" i="27"/>
  <c r="AS16" i="26" s="1"/>
  <c r="AJ4" i="46" s="1"/>
  <c r="AS15" i="27"/>
  <c r="AS15" i="26" s="1"/>
  <c r="AJ3" i="46" s="1"/>
  <c r="I18" i="27"/>
  <c r="I18" i="26" s="1"/>
  <c r="AQ14" i="27"/>
  <c r="AQ14" i="26" s="1"/>
  <c r="AH2" i="46" s="1"/>
  <c r="AG15" i="27"/>
  <c r="AG15" i="26" s="1"/>
  <c r="X3" i="46" s="1"/>
  <c r="AH18" i="27"/>
  <c r="AH18" i="26" s="1"/>
  <c r="Y6" i="46" s="1"/>
  <c r="AQ16" i="27"/>
  <c r="AQ16" i="26" s="1"/>
  <c r="AH4" i="46" s="1"/>
  <c r="AE16" i="27"/>
  <c r="AE16" i="26" s="1"/>
  <c r="V4" i="46" s="1"/>
  <c r="I16" i="27"/>
  <c r="I16" i="26" s="1"/>
  <c r="I14" i="27"/>
  <c r="I14" i="26" s="1"/>
  <c r="T19" i="27"/>
  <c r="T19" i="26" s="1"/>
  <c r="K7" i="46" s="1"/>
  <c r="E19" i="27"/>
  <c r="E19" i="26" s="1"/>
  <c r="AR19" i="27"/>
  <c r="AR19" i="26" s="1"/>
  <c r="AI7" i="46" s="1"/>
  <c r="AB14" i="27"/>
  <c r="AB14" i="26" s="1"/>
  <c r="S2" i="46" s="1"/>
  <c r="V16" i="27"/>
  <c r="V16" i="26" s="1"/>
  <c r="M4" i="46" s="1"/>
  <c r="AQ15" i="27"/>
  <c r="AQ15" i="26" s="1"/>
  <c r="AH3" i="46" s="1"/>
  <c r="AC14" i="27"/>
  <c r="AC14" i="26" s="1"/>
  <c r="T2" i="46" s="1"/>
  <c r="AS19" i="27"/>
  <c r="AS19" i="26" s="1"/>
  <c r="AJ7" i="46" s="1"/>
  <c r="AC16" i="27"/>
  <c r="AC16" i="26" s="1"/>
  <c r="T4" i="46" s="1"/>
  <c r="AQ19" i="27"/>
  <c r="AQ19" i="26" s="1"/>
  <c r="AH7" i="46" s="1"/>
  <c r="AO15" i="27"/>
  <c r="AO15" i="26" s="1"/>
  <c r="AF3" i="46" s="1"/>
  <c r="E16" i="27"/>
  <c r="E16" i="26" s="1"/>
  <c r="AN16" i="27"/>
  <c r="AN16" i="26" s="1"/>
  <c r="AE4" i="46" s="1"/>
  <c r="AR18" i="27"/>
  <c r="AR18" i="26" s="1"/>
  <c r="AI6" i="46" s="1"/>
  <c r="AN18" i="27"/>
  <c r="AN18" i="26" s="1"/>
  <c r="AE6" i="46" s="1"/>
  <c r="E18" i="27"/>
  <c r="E18" i="26" s="1"/>
  <c r="AN17" i="27"/>
  <c r="AN17" i="26" s="1"/>
  <c r="AE5" i="46" s="1"/>
  <c r="D17" i="27"/>
  <c r="D17" i="26" s="1"/>
  <c r="AS14" i="27"/>
  <c r="AS14" i="26" s="1"/>
  <c r="AJ2" i="46" s="1"/>
  <c r="X14" i="27"/>
  <c r="X14" i="26" s="1"/>
  <c r="O2" i="46" s="1"/>
  <c r="E5" i="27"/>
  <c r="AN9" i="27"/>
  <c r="W10" i="27"/>
  <c r="AT6" i="27"/>
  <c r="H9" i="27"/>
  <c r="Y10" i="27"/>
  <c r="Z8" i="27"/>
  <c r="AD6" i="27"/>
  <c r="AL10" i="27"/>
  <c r="L8" i="27"/>
  <c r="AA5" i="27"/>
  <c r="M8" i="27"/>
  <c r="AJ7" i="27"/>
  <c r="N10" i="27"/>
  <c r="C10" i="27"/>
  <c r="K10" i="27"/>
  <c r="K8" i="27"/>
  <c r="AQ10" i="27"/>
  <c r="AM8" i="27"/>
  <c r="AO5" i="27"/>
  <c r="O6" i="27"/>
  <c r="AT7" i="27"/>
  <c r="U5" i="27"/>
  <c r="AD7" i="27"/>
  <c r="S9" i="27"/>
  <c r="L9" i="27"/>
  <c r="AF5" i="27"/>
  <c r="AA6" i="27"/>
  <c r="M9" i="27"/>
  <c r="AJ8" i="27"/>
  <c r="P6" i="27"/>
  <c r="K9" i="27"/>
  <c r="P8" i="27"/>
  <c r="Z10" i="27"/>
  <c r="Z9" i="27"/>
  <c r="K7" i="27"/>
  <c r="AK9" i="27"/>
  <c r="AO7" i="27"/>
  <c r="AT9" i="27"/>
  <c r="F9" i="27"/>
  <c r="U6" i="27"/>
  <c r="AF6" i="27"/>
  <c r="AA7" i="27"/>
  <c r="AJ9" i="27"/>
  <c r="AO8" i="27"/>
  <c r="M5" i="27"/>
  <c r="AU5" i="27"/>
  <c r="AT10" i="27"/>
  <c r="AD10" i="27"/>
  <c r="AD9" i="27"/>
  <c r="U7" i="27"/>
  <c r="J6" i="27"/>
  <c r="S8" i="27"/>
  <c r="AL5" i="27"/>
  <c r="AF7" i="27"/>
  <c r="AA8" i="27"/>
  <c r="AJ10" i="27"/>
  <c r="N5" i="27"/>
  <c r="C5" i="27"/>
  <c r="AR5" i="27"/>
  <c r="AO10" i="27"/>
  <c r="AU6" i="27"/>
  <c r="O5" i="27"/>
  <c r="H5" i="27"/>
  <c r="Y6" i="27"/>
  <c r="F8" i="27"/>
  <c r="U8" i="27"/>
  <c r="J7" i="27"/>
  <c r="Q5" i="27"/>
  <c r="AL6" i="27"/>
  <c r="AF8" i="27"/>
  <c r="S10" i="27"/>
  <c r="AA9" i="27"/>
  <c r="N6" i="27"/>
  <c r="C6" i="27"/>
  <c r="AP8" i="27"/>
  <c r="Z6" i="27"/>
  <c r="Z5" i="27"/>
  <c r="AR10" i="27"/>
  <c r="W6" i="27"/>
  <c r="O7" i="27"/>
  <c r="H6" i="27"/>
  <c r="M10" i="27"/>
  <c r="Y7" i="27"/>
  <c r="F10" i="27"/>
  <c r="G6" i="27"/>
  <c r="U9" i="27"/>
  <c r="J9" i="27"/>
  <c r="Q9" i="27"/>
  <c r="AL7" i="27"/>
  <c r="L5" i="27"/>
  <c r="AA10" i="27"/>
  <c r="N7" i="27"/>
  <c r="C7" i="27"/>
  <c r="AI5" i="27"/>
  <c r="Z7" i="27"/>
  <c r="AP10" i="27"/>
  <c r="R8" i="27"/>
  <c r="W8" i="27"/>
  <c r="O8" i="27"/>
  <c r="H7" i="27"/>
  <c r="Y8" i="27"/>
  <c r="R9" i="27"/>
  <c r="W9" i="27"/>
  <c r="AD8" i="27"/>
  <c r="O9" i="27"/>
  <c r="H8" i="27"/>
  <c r="F5" i="27"/>
  <c r="Y9" i="27"/>
  <c r="G10" i="27"/>
  <c r="AL9" i="27"/>
  <c r="L7" i="27"/>
  <c r="M7" i="27"/>
  <c r="AJ6" i="27"/>
  <c r="N9" i="27"/>
  <c r="C9" i="27"/>
  <c r="AI9" i="27"/>
  <c r="AP7" i="27"/>
  <c r="AP6" i="27"/>
  <c r="P10" i="27"/>
  <c r="AP5" i="27"/>
  <c r="AP9" i="27"/>
  <c r="J10" i="27"/>
  <c r="L6" i="27"/>
  <c r="M6" i="27"/>
  <c r="C8" i="27"/>
  <c r="P5" i="27"/>
  <c r="K6" i="27"/>
  <c r="Q10" i="27"/>
  <c r="P7" i="27"/>
  <c r="AI10" i="27"/>
  <c r="AI8" i="27"/>
  <c r="K5" i="27"/>
  <c r="S5" i="27"/>
  <c r="G7" i="27"/>
  <c r="P9" i="27"/>
  <c r="N8" i="27"/>
  <c r="AL8" i="27"/>
  <c r="G9" i="27"/>
  <c r="AH7" i="27"/>
  <c r="AI6" i="27"/>
  <c r="AH6" i="27"/>
  <c r="S6" i="27"/>
  <c r="AK10" i="27"/>
  <c r="D6" i="27"/>
  <c r="Y5" i="27"/>
  <c r="AR9" i="27"/>
  <c r="AG9" i="27"/>
  <c r="D8" i="27"/>
  <c r="AK8" i="27"/>
  <c r="X9" i="27"/>
  <c r="D10" i="27"/>
  <c r="AT8" i="27"/>
  <c r="AH8" i="27"/>
  <c r="X7" i="27"/>
  <c r="AE6" i="27"/>
  <c r="AN7" i="27"/>
  <c r="AN6" i="27"/>
  <c r="E6" i="27"/>
  <c r="R6" i="27"/>
  <c r="R10" i="27"/>
  <c r="AG10" i="27"/>
  <c r="Q7" i="27"/>
  <c r="AK7" i="27"/>
  <c r="E7" i="27"/>
  <c r="T10" i="27"/>
  <c r="AC8" i="27"/>
  <c r="AC7" i="27"/>
  <c r="I7" i="27"/>
  <c r="AC10" i="27"/>
  <c r="AF9" i="27"/>
  <c r="AI7" i="27"/>
  <c r="AM9" i="27"/>
  <c r="G8" i="27"/>
  <c r="T5" i="27"/>
  <c r="V7" i="27"/>
  <c r="AM7" i="27"/>
  <c r="AM5" i="27"/>
  <c r="Q8" i="27"/>
  <c r="G5" i="27"/>
  <c r="AT5" i="27"/>
  <c r="V9" i="27"/>
  <c r="V5" i="27"/>
  <c r="AB5" i="27"/>
  <c r="AO6" i="27"/>
  <c r="AB9" i="27"/>
  <c r="AR8" i="27"/>
  <c r="AQ7" i="27"/>
  <c r="AQ6" i="27"/>
  <c r="T7" i="27"/>
  <c r="D7" i="27"/>
  <c r="AG8" i="27"/>
  <c r="AG7" i="27"/>
  <c r="AF10" i="27"/>
  <c r="J8" i="27"/>
  <c r="H10" i="27"/>
  <c r="V6" i="27"/>
  <c r="R5" i="27"/>
  <c r="AK6" i="27"/>
  <c r="AC9" i="27"/>
  <c r="F6" i="27"/>
  <c r="AE5" i="27"/>
  <c r="AK5" i="27"/>
  <c r="AB8" i="27"/>
  <c r="AS8" i="27"/>
  <c r="AS9" i="27"/>
  <c r="E8" i="27"/>
  <c r="AN8" i="27"/>
  <c r="T8" i="27"/>
  <c r="AU8" i="27"/>
  <c r="AB6" i="27"/>
  <c r="Q6" i="27"/>
  <c r="AU7" i="27"/>
  <c r="AJ5" i="27"/>
  <c r="AD5" i="27"/>
  <c r="AE10" i="27"/>
  <c r="AG5" i="27"/>
  <c r="W7" i="27"/>
  <c r="AR7" i="27"/>
  <c r="AS7" i="27"/>
  <c r="AN5" i="27"/>
  <c r="AS5" i="27"/>
  <c r="E9" i="27"/>
  <c r="AR6" i="27"/>
  <c r="W5" i="27"/>
  <c r="AH10" i="27"/>
  <c r="AH9" i="27"/>
  <c r="J5" i="27"/>
  <c r="F7" i="27"/>
  <c r="AB7" i="27"/>
  <c r="AU10" i="27"/>
  <c r="AM6" i="27"/>
  <c r="X6" i="27"/>
  <c r="X8" i="27"/>
  <c r="AB10" i="27"/>
  <c r="D5" i="27"/>
  <c r="I8" i="27"/>
  <c r="X5" i="27"/>
  <c r="AE9" i="27"/>
  <c r="O10" i="27"/>
  <c r="AE7" i="27"/>
  <c r="AO9" i="27"/>
  <c r="AH5" i="27"/>
  <c r="V8" i="27"/>
  <c r="AQ9" i="27"/>
  <c r="L10" i="27"/>
  <c r="U10" i="27"/>
  <c r="AM10" i="27"/>
  <c r="I10" i="27"/>
  <c r="T9" i="27"/>
  <c r="AQ8" i="27"/>
  <c r="AQ5" i="27"/>
  <c r="R7" i="27"/>
  <c r="AS6" i="27"/>
  <c r="AN10" i="27"/>
  <c r="I5" i="27"/>
  <c r="AE8" i="27"/>
  <c r="I6" i="27"/>
  <c r="AC6" i="27"/>
  <c r="V10" i="27"/>
  <c r="AS10" i="27"/>
  <c r="AG6" i="27"/>
  <c r="AU9" i="27"/>
  <c r="D9" i="27"/>
  <c r="E10" i="27"/>
  <c r="I9" i="27"/>
  <c r="T6" i="27"/>
  <c r="X10" i="27"/>
  <c r="AC5" i="27"/>
  <c r="S16" i="27"/>
  <c r="S16" i="26" s="1"/>
  <c r="J4" i="46" s="1"/>
  <c r="AC2" i="46"/>
  <c r="J4" i="47"/>
  <c r="T6" i="26" l="1"/>
  <c r="K3" i="47" s="1"/>
  <c r="T51" i="27"/>
  <c r="AC51" i="27"/>
  <c r="AC6" i="26"/>
  <c r="T3" i="47" s="1"/>
  <c r="AQ8" i="26"/>
  <c r="AH5" i="47" s="1"/>
  <c r="AQ53" i="27"/>
  <c r="AH5" i="26"/>
  <c r="AH50" i="27"/>
  <c r="AB10" i="26"/>
  <c r="S7" i="47" s="1"/>
  <c r="AB55" i="27"/>
  <c r="AH9" i="26"/>
  <c r="Y6" i="47" s="1"/>
  <c r="AH54" i="27"/>
  <c r="AR7" i="26"/>
  <c r="AI4" i="47" s="1"/>
  <c r="AR52" i="27"/>
  <c r="AB6" i="26"/>
  <c r="S3" i="47" s="1"/>
  <c r="AB51" i="27"/>
  <c r="AK5" i="26"/>
  <c r="AK50" i="27"/>
  <c r="J8" i="26"/>
  <c r="J53" i="27"/>
  <c r="AR53" i="27"/>
  <c r="AR8" i="26"/>
  <c r="AI5" i="47" s="1"/>
  <c r="Q8" i="26"/>
  <c r="H5" i="47" s="1"/>
  <c r="Q53" i="27"/>
  <c r="AF9" i="26"/>
  <c r="W6" i="47" s="1"/>
  <c r="AF54" i="27"/>
  <c r="Q7" i="26"/>
  <c r="H4" i="47" s="1"/>
  <c r="Q52" i="27"/>
  <c r="X7" i="26"/>
  <c r="O4" i="47" s="1"/>
  <c r="X52" i="27"/>
  <c r="AR9" i="26"/>
  <c r="AI6" i="47" s="1"/>
  <c r="AR54" i="27"/>
  <c r="G9" i="26"/>
  <c r="G54" i="27"/>
  <c r="AI10" i="26"/>
  <c r="Z7" i="47" s="1"/>
  <c r="AI55" i="27"/>
  <c r="J10" i="26"/>
  <c r="J55" i="27"/>
  <c r="N9" i="26"/>
  <c r="E6" i="47" s="1"/>
  <c r="N54" i="27"/>
  <c r="H8" i="26"/>
  <c r="H53" i="27"/>
  <c r="W8" i="26"/>
  <c r="N5" i="47" s="1"/>
  <c r="W53" i="27"/>
  <c r="L5" i="26"/>
  <c r="L50" i="27"/>
  <c r="M10" i="26"/>
  <c r="D7" i="47" s="1"/>
  <c r="M55" i="27"/>
  <c r="C6" i="26"/>
  <c r="C51" i="27"/>
  <c r="U8" i="26"/>
  <c r="L5" i="47" s="1"/>
  <c r="U53" i="27"/>
  <c r="C5" i="26"/>
  <c r="C50" i="27"/>
  <c r="U7" i="26"/>
  <c r="L4" i="47" s="1"/>
  <c r="U52" i="27"/>
  <c r="AA7" i="26"/>
  <c r="R4" i="47" s="1"/>
  <c r="AA52" i="27"/>
  <c r="Z9" i="26"/>
  <c r="Q6" i="47" s="1"/>
  <c r="Z54" i="27"/>
  <c r="AF5" i="26"/>
  <c r="AF50" i="27"/>
  <c r="AM8" i="26"/>
  <c r="AD5" i="47" s="1"/>
  <c r="AM53" i="27"/>
  <c r="AA5" i="26"/>
  <c r="AA50" i="27"/>
  <c r="W10" i="26"/>
  <c r="N7" i="47" s="1"/>
  <c r="W55" i="27"/>
  <c r="AU9" i="26"/>
  <c r="AL6" i="47" s="1"/>
  <c r="AU54" i="27"/>
  <c r="AN10" i="26"/>
  <c r="AE7" i="47" s="1"/>
  <c r="AN55" i="27"/>
  <c r="U10" i="26"/>
  <c r="L7" i="47" s="1"/>
  <c r="U55" i="27"/>
  <c r="AE9" i="26"/>
  <c r="V6" i="47" s="1"/>
  <c r="AE54" i="27"/>
  <c r="AU10" i="26"/>
  <c r="AL7" i="47" s="1"/>
  <c r="AU55" i="27"/>
  <c r="E9" i="26"/>
  <c r="E54" i="27"/>
  <c r="AD5" i="26"/>
  <c r="AD50" i="27"/>
  <c r="E8" i="26"/>
  <c r="E53" i="27"/>
  <c r="AK51" i="27"/>
  <c r="AK6" i="26"/>
  <c r="AB3" i="47" s="1"/>
  <c r="D7" i="26"/>
  <c r="D52" i="27"/>
  <c r="V5" i="26"/>
  <c r="V50" i="27"/>
  <c r="T5" i="26"/>
  <c r="T50" i="27"/>
  <c r="AC8" i="26"/>
  <c r="T5" i="47" s="1"/>
  <c r="AC53" i="27"/>
  <c r="E51" i="27"/>
  <c r="E6" i="26"/>
  <c r="X9" i="26"/>
  <c r="O6" i="47" s="1"/>
  <c r="X54" i="27"/>
  <c r="S6" i="26"/>
  <c r="J3" i="47" s="1"/>
  <c r="S51" i="27"/>
  <c r="G7" i="26"/>
  <c r="G52" i="27"/>
  <c r="P50" i="27"/>
  <c r="P5" i="26"/>
  <c r="AP6" i="26"/>
  <c r="AG3" i="47" s="1"/>
  <c r="AP51" i="27"/>
  <c r="AL9" i="26"/>
  <c r="AC6" i="47" s="1"/>
  <c r="AL54" i="27"/>
  <c r="R9" i="26"/>
  <c r="I6" i="47" s="1"/>
  <c r="R54" i="27"/>
  <c r="AI5" i="26"/>
  <c r="AI50" i="27"/>
  <c r="U9" i="26"/>
  <c r="L6" i="47" s="1"/>
  <c r="U54" i="27"/>
  <c r="AR10" i="26"/>
  <c r="AI7" i="47" s="1"/>
  <c r="AR55" i="27"/>
  <c r="AF8" i="26"/>
  <c r="W5" i="47" s="1"/>
  <c r="AF53" i="27"/>
  <c r="O5" i="26"/>
  <c r="O50" i="27"/>
  <c r="AF7" i="26"/>
  <c r="W4" i="47" s="1"/>
  <c r="AF52" i="27"/>
  <c r="AU5" i="26"/>
  <c r="AU50" i="27"/>
  <c r="AT9" i="26"/>
  <c r="AK6" i="47" s="1"/>
  <c r="AT54" i="27"/>
  <c r="P6" i="26"/>
  <c r="G3" i="47" s="1"/>
  <c r="P51" i="27"/>
  <c r="U5" i="26"/>
  <c r="U50" i="27"/>
  <c r="C10" i="26"/>
  <c r="C55" i="27"/>
  <c r="Z8" i="26"/>
  <c r="Q5" i="47" s="1"/>
  <c r="Z53" i="27"/>
  <c r="AE7" i="26"/>
  <c r="V4" i="47" s="1"/>
  <c r="AE52" i="27"/>
  <c r="F6" i="26"/>
  <c r="F51" i="27"/>
  <c r="D6" i="26"/>
  <c r="D51" i="27"/>
  <c r="AJ10" i="26"/>
  <c r="AA7" i="47" s="1"/>
  <c r="AJ55" i="27"/>
  <c r="D9" i="26"/>
  <c r="D54" i="27"/>
  <c r="I5" i="26"/>
  <c r="I50" i="27"/>
  <c r="AM55" i="27"/>
  <c r="AM10" i="26"/>
  <c r="AD7" i="47" s="1"/>
  <c r="O10" i="26"/>
  <c r="F7" i="47" s="1"/>
  <c r="O55" i="27"/>
  <c r="AM6" i="26"/>
  <c r="AD3" i="47" s="1"/>
  <c r="AM51" i="27"/>
  <c r="AR6" i="26"/>
  <c r="AI3" i="47" s="1"/>
  <c r="AR51" i="27"/>
  <c r="AE10" i="26"/>
  <c r="V7" i="47" s="1"/>
  <c r="AE55" i="27"/>
  <c r="AN8" i="26"/>
  <c r="AE5" i="47" s="1"/>
  <c r="AN53" i="27"/>
  <c r="AC9" i="26"/>
  <c r="T6" i="47" s="1"/>
  <c r="AC54" i="27"/>
  <c r="AG8" i="26"/>
  <c r="X5" i="47" s="1"/>
  <c r="AG53" i="27"/>
  <c r="AB5" i="26"/>
  <c r="AB50" i="27"/>
  <c r="V7" i="26"/>
  <c r="M4" i="47" s="1"/>
  <c r="V52" i="27"/>
  <c r="AC7" i="26"/>
  <c r="T4" i="47" s="1"/>
  <c r="AC52" i="27"/>
  <c r="R51" i="27"/>
  <c r="R6" i="26"/>
  <c r="I3" i="47" s="1"/>
  <c r="D10" i="26"/>
  <c r="D55" i="27"/>
  <c r="AK10" i="26"/>
  <c r="AB7" i="47" s="1"/>
  <c r="AK55" i="27"/>
  <c r="P9" i="26"/>
  <c r="G6" i="47" s="1"/>
  <c r="P54" i="27"/>
  <c r="K51" i="27"/>
  <c r="K6" i="26"/>
  <c r="B3" i="47" s="1"/>
  <c r="P10" i="26"/>
  <c r="G7" i="47" s="1"/>
  <c r="P55" i="27"/>
  <c r="L7" i="26"/>
  <c r="C4" i="47" s="1"/>
  <c r="L52" i="27"/>
  <c r="W9" i="26"/>
  <c r="N6" i="47" s="1"/>
  <c r="W54" i="27"/>
  <c r="Z52" i="27"/>
  <c r="Z7" i="26"/>
  <c r="Q4" i="47" s="1"/>
  <c r="J9" i="26"/>
  <c r="J54" i="27"/>
  <c r="W6" i="26"/>
  <c r="N3" i="47" s="1"/>
  <c r="W51" i="27"/>
  <c r="S10" i="26"/>
  <c r="J7" i="47" s="1"/>
  <c r="S55" i="27"/>
  <c r="H5" i="26"/>
  <c r="H50" i="27"/>
  <c r="AA8" i="26"/>
  <c r="R5" i="47" s="1"/>
  <c r="AA53" i="27"/>
  <c r="AT10" i="26"/>
  <c r="AK7" i="47" s="1"/>
  <c r="AT55" i="27"/>
  <c r="F9" i="26"/>
  <c r="F54" i="27"/>
  <c r="K9" i="26"/>
  <c r="B6" i="47" s="1"/>
  <c r="K54" i="27"/>
  <c r="AD7" i="26"/>
  <c r="U4" i="47" s="1"/>
  <c r="AD52" i="27"/>
  <c r="K10" i="26"/>
  <c r="B7" i="47" s="1"/>
  <c r="K55" i="27"/>
  <c r="AD6" i="26"/>
  <c r="U3" i="47" s="1"/>
  <c r="AD51" i="27"/>
  <c r="AG51" i="27"/>
  <c r="AG6" i="26"/>
  <c r="X3" i="47" s="1"/>
  <c r="AS6" i="26"/>
  <c r="AJ3" i="47" s="1"/>
  <c r="AS51" i="27"/>
  <c r="L55" i="27"/>
  <c r="L10" i="26"/>
  <c r="C7" i="47" s="1"/>
  <c r="X5" i="26"/>
  <c r="X50" i="27"/>
  <c r="AB7" i="26"/>
  <c r="S4" i="47" s="1"/>
  <c r="AB52" i="27"/>
  <c r="AS50" i="27"/>
  <c r="AS5" i="26"/>
  <c r="AJ5" i="26"/>
  <c r="AJ50" i="27"/>
  <c r="AS54" i="27"/>
  <c r="AS9" i="26"/>
  <c r="AJ6" i="47" s="1"/>
  <c r="R5" i="26"/>
  <c r="R50" i="27"/>
  <c r="T7" i="26"/>
  <c r="K4" i="47" s="1"/>
  <c r="T52" i="27"/>
  <c r="V9" i="26"/>
  <c r="M6" i="47" s="1"/>
  <c r="V54" i="27"/>
  <c r="G8" i="26"/>
  <c r="G53" i="27"/>
  <c r="T10" i="26"/>
  <c r="K7" i="47" s="1"/>
  <c r="T55" i="27"/>
  <c r="AN6" i="26"/>
  <c r="AE3" i="47" s="1"/>
  <c r="AN51" i="27"/>
  <c r="AK8" i="26"/>
  <c r="AB5" i="47" s="1"/>
  <c r="AK53" i="27"/>
  <c r="AH6" i="26"/>
  <c r="Y3" i="47" s="1"/>
  <c r="AH51" i="27"/>
  <c r="S5" i="26"/>
  <c r="S50" i="27"/>
  <c r="C8" i="26"/>
  <c r="C53" i="27"/>
  <c r="AP7" i="26"/>
  <c r="AG4" i="47" s="1"/>
  <c r="AP52" i="27"/>
  <c r="G10" i="26"/>
  <c r="G55" i="27"/>
  <c r="Y8" i="26"/>
  <c r="P5" i="47" s="1"/>
  <c r="Y53" i="27"/>
  <c r="C7" i="26"/>
  <c r="C52" i="27"/>
  <c r="G6" i="26"/>
  <c r="G51" i="27"/>
  <c r="Z5" i="26"/>
  <c r="Z50" i="27"/>
  <c r="AL6" i="26"/>
  <c r="AC3" i="47" s="1"/>
  <c r="AL51" i="27"/>
  <c r="AU6" i="26"/>
  <c r="AL3" i="47" s="1"/>
  <c r="AU51" i="27"/>
  <c r="AL5" i="26"/>
  <c r="AL50" i="27"/>
  <c r="M5" i="26"/>
  <c r="M50" i="27"/>
  <c r="AO7" i="26"/>
  <c r="AF4" i="47" s="1"/>
  <c r="AO52" i="27"/>
  <c r="AJ8" i="26"/>
  <c r="AA5" i="47" s="1"/>
  <c r="AJ53" i="27"/>
  <c r="AT7" i="26"/>
  <c r="AK4" i="47" s="1"/>
  <c r="AT52" i="27"/>
  <c r="N10" i="26"/>
  <c r="E7" i="47" s="1"/>
  <c r="N55" i="27"/>
  <c r="Y10" i="26"/>
  <c r="P7" i="47" s="1"/>
  <c r="Y55" i="27"/>
  <c r="I9" i="26"/>
  <c r="I54" i="27"/>
  <c r="I51" i="27"/>
  <c r="I6" i="26"/>
  <c r="T9" i="26"/>
  <c r="K6" i="47" s="1"/>
  <c r="T54" i="27"/>
  <c r="AO9" i="26"/>
  <c r="AF6" i="47" s="1"/>
  <c r="AO54" i="27"/>
  <c r="X8" i="26"/>
  <c r="O5" i="47" s="1"/>
  <c r="X53" i="27"/>
  <c r="AH10" i="26"/>
  <c r="Y7" i="47" s="1"/>
  <c r="AH55" i="27"/>
  <c r="W52" i="27"/>
  <c r="W7" i="26"/>
  <c r="N4" i="47" s="1"/>
  <c r="AU53" i="27"/>
  <c r="AU8" i="26"/>
  <c r="AL5" i="47" s="1"/>
  <c r="AE5" i="26"/>
  <c r="AE50" i="27"/>
  <c r="AF10" i="26"/>
  <c r="W7" i="47" s="1"/>
  <c r="AF55" i="27"/>
  <c r="AB9" i="26"/>
  <c r="S6" i="47" s="1"/>
  <c r="AB54" i="27"/>
  <c r="AM5" i="26"/>
  <c r="AM50" i="27"/>
  <c r="AC55" i="27"/>
  <c r="AC10" i="26"/>
  <c r="T7" i="47" s="1"/>
  <c r="AG10" i="26"/>
  <c r="X7" i="47" s="1"/>
  <c r="AG55" i="27"/>
  <c r="AH8" i="26"/>
  <c r="Y5" i="47" s="1"/>
  <c r="AH53" i="27"/>
  <c r="Y5" i="26"/>
  <c r="Y50" i="27"/>
  <c r="AL8" i="26"/>
  <c r="AC5" i="47" s="1"/>
  <c r="AL53" i="27"/>
  <c r="P7" i="26"/>
  <c r="G4" i="47" s="1"/>
  <c r="P52" i="27"/>
  <c r="AP9" i="26"/>
  <c r="AG6" i="47" s="1"/>
  <c r="AP54" i="27"/>
  <c r="AJ6" i="26"/>
  <c r="AA3" i="47" s="1"/>
  <c r="AJ51" i="27"/>
  <c r="O9" i="26"/>
  <c r="F6" i="47" s="1"/>
  <c r="O54" i="27"/>
  <c r="R8" i="26"/>
  <c r="I5" i="47" s="1"/>
  <c r="R53" i="27"/>
  <c r="AL7" i="26"/>
  <c r="AC4" i="47" s="1"/>
  <c r="AL52" i="27"/>
  <c r="H6" i="26"/>
  <c r="H51" i="27"/>
  <c r="N6" i="26"/>
  <c r="E3" i="47" s="1"/>
  <c r="N51" i="27"/>
  <c r="F8" i="26"/>
  <c r="F53" i="27"/>
  <c r="N5" i="26"/>
  <c r="N50" i="27"/>
  <c r="AD9" i="26"/>
  <c r="U6" i="47" s="1"/>
  <c r="AD54" i="27"/>
  <c r="AF6" i="26"/>
  <c r="W3" i="47" s="1"/>
  <c r="AF51" i="27"/>
  <c r="Z10" i="26"/>
  <c r="Q7" i="47" s="1"/>
  <c r="Z55" i="27"/>
  <c r="L9" i="26"/>
  <c r="C6" i="47" s="1"/>
  <c r="L54" i="27"/>
  <c r="AQ10" i="26"/>
  <c r="AH7" i="47" s="1"/>
  <c r="AQ55" i="27"/>
  <c r="L8" i="26"/>
  <c r="C5" i="47" s="1"/>
  <c r="L53" i="27"/>
  <c r="AN9" i="26"/>
  <c r="AE6" i="47" s="1"/>
  <c r="AN54" i="27"/>
  <c r="AC5" i="26"/>
  <c r="AC50" i="27"/>
  <c r="AS10" i="26"/>
  <c r="AJ7" i="47" s="1"/>
  <c r="AS55" i="27"/>
  <c r="R52" i="27"/>
  <c r="R7" i="26"/>
  <c r="I4" i="47" s="1"/>
  <c r="AQ9" i="26"/>
  <c r="AH6" i="47" s="1"/>
  <c r="AQ54" i="27"/>
  <c r="I8" i="26"/>
  <c r="I53" i="27"/>
  <c r="F7" i="26"/>
  <c r="F52" i="27"/>
  <c r="AN5" i="26"/>
  <c r="AN50" i="27"/>
  <c r="AU7" i="26"/>
  <c r="AL4" i="47" s="1"/>
  <c r="AU52" i="27"/>
  <c r="AS8" i="26"/>
  <c r="AJ5" i="47" s="1"/>
  <c r="AS53" i="27"/>
  <c r="V6" i="26"/>
  <c r="M3" i="47" s="1"/>
  <c r="V51" i="27"/>
  <c r="AQ6" i="26"/>
  <c r="AH3" i="47" s="1"/>
  <c r="AQ51" i="27"/>
  <c r="AT50" i="27"/>
  <c r="AT5" i="26"/>
  <c r="AM9" i="26"/>
  <c r="AD6" i="47" s="1"/>
  <c r="AM54" i="27"/>
  <c r="E7" i="26"/>
  <c r="E52" i="27"/>
  <c r="AN7" i="26"/>
  <c r="AE4" i="47" s="1"/>
  <c r="AN52" i="27"/>
  <c r="D8" i="26"/>
  <c r="D53" i="27"/>
  <c r="AI6" i="26"/>
  <c r="Z3" i="47" s="1"/>
  <c r="AI51" i="27"/>
  <c r="K5" i="26"/>
  <c r="K50" i="27"/>
  <c r="M6" i="26"/>
  <c r="D3" i="47" s="1"/>
  <c r="M51" i="27"/>
  <c r="AI54" i="27"/>
  <c r="AI9" i="26"/>
  <c r="Z6" i="47" s="1"/>
  <c r="Y9" i="26"/>
  <c r="P6" i="47" s="1"/>
  <c r="Y54" i="27"/>
  <c r="H7" i="26"/>
  <c r="H52" i="27"/>
  <c r="N7" i="26"/>
  <c r="E4" i="47" s="1"/>
  <c r="N52" i="27"/>
  <c r="F10" i="26"/>
  <c r="F55" i="27"/>
  <c r="Z6" i="26"/>
  <c r="Q3" i="47" s="1"/>
  <c r="Z51" i="27"/>
  <c r="Q5" i="26"/>
  <c r="Q50" i="27"/>
  <c r="AO10" i="26"/>
  <c r="AF7" i="47" s="1"/>
  <c r="AO55" i="27"/>
  <c r="S8" i="26"/>
  <c r="J5" i="47" s="1"/>
  <c r="S53" i="27"/>
  <c r="AO8" i="26"/>
  <c r="AF5" i="47" s="1"/>
  <c r="AO53" i="27"/>
  <c r="AK9" i="26"/>
  <c r="AB6" i="47" s="1"/>
  <c r="AK54" i="27"/>
  <c r="M9" i="26"/>
  <c r="D6" i="47" s="1"/>
  <c r="M54" i="27"/>
  <c r="O6" i="26"/>
  <c r="F3" i="47" s="1"/>
  <c r="O51" i="27"/>
  <c r="AJ7" i="26"/>
  <c r="AA4" i="47" s="1"/>
  <c r="AJ52" i="27"/>
  <c r="H9" i="26"/>
  <c r="H54" i="27"/>
  <c r="V10" i="26"/>
  <c r="M7" i="47" s="1"/>
  <c r="V55" i="27"/>
  <c r="V8" i="26"/>
  <c r="M5" i="47" s="1"/>
  <c r="V53" i="27"/>
  <c r="J5" i="26"/>
  <c r="J50" i="27"/>
  <c r="AS7" i="26"/>
  <c r="AJ4" i="47" s="1"/>
  <c r="AS52" i="27"/>
  <c r="Q6" i="26"/>
  <c r="H3" i="47" s="1"/>
  <c r="Q51" i="27"/>
  <c r="H55" i="27"/>
  <c r="H10" i="26"/>
  <c r="AQ7" i="26"/>
  <c r="AH4" i="47" s="1"/>
  <c r="AQ52" i="27"/>
  <c r="G5" i="26"/>
  <c r="G50" i="27"/>
  <c r="AI7" i="26"/>
  <c r="Z4" i="47" s="1"/>
  <c r="AI52" i="27"/>
  <c r="AK7" i="26"/>
  <c r="AB4" i="47" s="1"/>
  <c r="AK52" i="27"/>
  <c r="AE6" i="26"/>
  <c r="V3" i="47" s="1"/>
  <c r="AE51" i="27"/>
  <c r="AH7" i="26"/>
  <c r="Y4" i="47" s="1"/>
  <c r="AH52" i="27"/>
  <c r="AI8" i="26"/>
  <c r="Z5" i="47" s="1"/>
  <c r="AI53" i="27"/>
  <c r="L6" i="26"/>
  <c r="C3" i="47" s="1"/>
  <c r="L51" i="27"/>
  <c r="C9" i="26"/>
  <c r="C54" i="27"/>
  <c r="F5" i="26"/>
  <c r="F50" i="27"/>
  <c r="O8" i="26"/>
  <c r="F5" i="47" s="1"/>
  <c r="O53" i="27"/>
  <c r="AA10" i="26"/>
  <c r="R7" i="47" s="1"/>
  <c r="AA55" i="27"/>
  <c r="Y7" i="26"/>
  <c r="P4" i="47" s="1"/>
  <c r="Y52" i="27"/>
  <c r="AP8" i="26"/>
  <c r="AG5" i="47" s="1"/>
  <c r="AP53" i="27"/>
  <c r="J7" i="26"/>
  <c r="J52" i="27"/>
  <c r="AR5" i="26"/>
  <c r="AR50" i="27"/>
  <c r="J6" i="26"/>
  <c r="J51" i="27"/>
  <c r="AJ9" i="26"/>
  <c r="AA6" i="47" s="1"/>
  <c r="AJ54" i="27"/>
  <c r="K7" i="26"/>
  <c r="B4" i="47" s="1"/>
  <c r="K52" i="27"/>
  <c r="AA6" i="26"/>
  <c r="R3" i="47" s="1"/>
  <c r="AA51" i="27"/>
  <c r="AO5" i="26"/>
  <c r="AO50" i="27"/>
  <c r="M8" i="26"/>
  <c r="D5" i="47" s="1"/>
  <c r="M53" i="27"/>
  <c r="X10" i="26"/>
  <c r="O7" i="47" s="1"/>
  <c r="X55" i="27"/>
  <c r="AQ5" i="26"/>
  <c r="AQ50" i="27"/>
  <c r="D5" i="26"/>
  <c r="D50" i="27"/>
  <c r="AB53" i="27"/>
  <c r="AB8" i="26"/>
  <c r="S5" i="47" s="1"/>
  <c r="AG9" i="26"/>
  <c r="X6" i="47" s="1"/>
  <c r="AG54" i="27"/>
  <c r="AT6" i="26"/>
  <c r="AK3" i="47" s="1"/>
  <c r="AT51" i="27"/>
  <c r="E55" i="27"/>
  <c r="E10" i="26"/>
  <c r="AE8" i="26"/>
  <c r="V5" i="47" s="1"/>
  <c r="AE53" i="27"/>
  <c r="I55" i="27"/>
  <c r="I10" i="26"/>
  <c r="X6" i="26"/>
  <c r="O3" i="47" s="1"/>
  <c r="X51" i="27"/>
  <c r="W5" i="26"/>
  <c r="W50" i="27"/>
  <c r="AG5" i="26"/>
  <c r="AG50" i="27"/>
  <c r="T8" i="26"/>
  <c r="K5" i="47" s="1"/>
  <c r="T53" i="27"/>
  <c r="AG7" i="26"/>
  <c r="X4" i="47" s="1"/>
  <c r="AG52" i="27"/>
  <c r="AO6" i="26"/>
  <c r="AF3" i="47" s="1"/>
  <c r="AO51" i="27"/>
  <c r="AM52" i="27"/>
  <c r="AM7" i="26"/>
  <c r="AD4" i="47" s="1"/>
  <c r="I7" i="26"/>
  <c r="I52" i="27"/>
  <c r="R10" i="26"/>
  <c r="I7" i="47" s="1"/>
  <c r="R55" i="27"/>
  <c r="AT53" i="27"/>
  <c r="AT8" i="26"/>
  <c r="AK5" i="47" s="1"/>
  <c r="N8" i="26"/>
  <c r="E5" i="47" s="1"/>
  <c r="N53" i="27"/>
  <c r="Q10" i="26"/>
  <c r="H7" i="47" s="1"/>
  <c r="Q55" i="27"/>
  <c r="AP50" i="27"/>
  <c r="AP5" i="26"/>
  <c r="M7" i="26"/>
  <c r="D4" i="47" s="1"/>
  <c r="M52" i="27"/>
  <c r="AD53" i="27"/>
  <c r="AD8" i="26"/>
  <c r="U5" i="47" s="1"/>
  <c r="AP10" i="26"/>
  <c r="AG7" i="47" s="1"/>
  <c r="AP55" i="27"/>
  <c r="Q9" i="26"/>
  <c r="H6" i="47" s="1"/>
  <c r="Q54" i="27"/>
  <c r="O7" i="26"/>
  <c r="F4" i="47" s="1"/>
  <c r="O52" i="27"/>
  <c r="AA9" i="26"/>
  <c r="R6" i="47" s="1"/>
  <c r="AA54" i="27"/>
  <c r="Y6" i="26"/>
  <c r="P3" i="47" s="1"/>
  <c r="Y51" i="27"/>
  <c r="AD10" i="26"/>
  <c r="U7" i="47" s="1"/>
  <c r="AD55" i="27"/>
  <c r="U6" i="26"/>
  <c r="L3" i="47" s="1"/>
  <c r="U51" i="27"/>
  <c r="P8" i="26"/>
  <c r="G5" i="47" s="1"/>
  <c r="P53" i="27"/>
  <c r="S9" i="26"/>
  <c r="J6" i="47" s="1"/>
  <c r="S54" i="27"/>
  <c r="K8" i="26"/>
  <c r="B5" i="47" s="1"/>
  <c r="K53" i="27"/>
  <c r="AL10" i="26"/>
  <c r="AC7" i="47" s="1"/>
  <c r="AL55" i="27"/>
  <c r="E5" i="26"/>
  <c r="E50" i="27"/>
  <c r="S52" i="27"/>
  <c r="E48" i="26" l="1"/>
  <c r="E49" i="26" s="1"/>
  <c r="F48" i="26"/>
  <c r="F49" i="26" s="1"/>
  <c r="H48" i="26"/>
  <c r="H49" i="26" s="1"/>
  <c r="C48" i="26"/>
  <c r="C49" i="26" s="1"/>
  <c r="T2" i="47"/>
  <c r="AC48" i="26"/>
  <c r="AC49" i="26" s="1"/>
  <c r="E2" i="47"/>
  <c r="N48" i="26"/>
  <c r="N49" i="26" s="1"/>
  <c r="D2" i="47"/>
  <c r="M48" i="26"/>
  <c r="M49" i="26" s="1"/>
  <c r="Q2" i="47"/>
  <c r="Z48" i="26"/>
  <c r="Z49" i="26" s="1"/>
  <c r="O2" i="47"/>
  <c r="X48" i="26"/>
  <c r="X49" i="26" s="1"/>
  <c r="G2" i="47"/>
  <c r="P48" i="26"/>
  <c r="P49" i="26" s="1"/>
  <c r="N2" i="47"/>
  <c r="W48" i="26"/>
  <c r="W49" i="26" s="1"/>
  <c r="D48" i="26"/>
  <c r="D49" i="26" s="1"/>
  <c r="AF2" i="47"/>
  <c r="AO48" i="26"/>
  <c r="AO49" i="26" s="1"/>
  <c r="J48" i="26"/>
  <c r="J49" i="26" s="1"/>
  <c r="AG2" i="47"/>
  <c r="AP48" i="26"/>
  <c r="AP49" i="26" s="1"/>
  <c r="AK2" i="47"/>
  <c r="AT48" i="26"/>
  <c r="AT49" i="26" s="1"/>
  <c r="F2" i="47"/>
  <c r="O48" i="26"/>
  <c r="O49" i="26" s="1"/>
  <c r="Z2" i="47"/>
  <c r="AI48" i="26"/>
  <c r="AI49" i="26" s="1"/>
  <c r="Y2" i="47"/>
  <c r="AH48" i="26"/>
  <c r="AH49" i="26" s="1"/>
  <c r="AC2" i="47"/>
  <c r="AL48" i="26"/>
  <c r="AL49" i="26" s="1"/>
  <c r="AA2" i="47"/>
  <c r="AJ48" i="26"/>
  <c r="AJ49" i="26" s="1"/>
  <c r="AJ2" i="47"/>
  <c r="AS48" i="26"/>
  <c r="AS49" i="26" s="1"/>
  <c r="W2" i="47"/>
  <c r="AF48" i="26"/>
  <c r="AF49" i="26" s="1"/>
  <c r="C2" i="47"/>
  <c r="L48" i="26"/>
  <c r="L49" i="26" s="1"/>
  <c r="AH2" i="47"/>
  <c r="AQ48" i="26"/>
  <c r="AQ49" i="26" s="1"/>
  <c r="AI2" i="47"/>
  <c r="AR48" i="26"/>
  <c r="AR49" i="26" s="1"/>
  <c r="AE2" i="47"/>
  <c r="AN48" i="26"/>
  <c r="AN49" i="26" s="1"/>
  <c r="V2" i="47"/>
  <c r="AE48" i="26"/>
  <c r="AE49" i="26" s="1"/>
  <c r="S2" i="47"/>
  <c r="AB48" i="26"/>
  <c r="AB49" i="26" s="1"/>
  <c r="AL2" i="47"/>
  <c r="AU48" i="26"/>
  <c r="AU49" i="26" s="1"/>
  <c r="K2" i="47"/>
  <c r="T48" i="26"/>
  <c r="T49" i="26" s="1"/>
  <c r="G48" i="26"/>
  <c r="G49" i="26" s="1"/>
  <c r="H2" i="47"/>
  <c r="Q48" i="26"/>
  <c r="Q49" i="26" s="1"/>
  <c r="B2" i="47"/>
  <c r="K48" i="26"/>
  <c r="K49" i="26" s="1"/>
  <c r="J2" i="47"/>
  <c r="S48" i="26"/>
  <c r="S49" i="26" s="1"/>
  <c r="I2" i="47"/>
  <c r="R48" i="26"/>
  <c r="R49" i="26" s="1"/>
  <c r="I48" i="26"/>
  <c r="I49" i="26" s="1"/>
  <c r="X2" i="47"/>
  <c r="AG48" i="26"/>
  <c r="AG49" i="26" s="1"/>
  <c r="Y48" i="26"/>
  <c r="Y49" i="26" s="1"/>
  <c r="P2" i="47"/>
  <c r="AD2" i="47"/>
  <c r="AM48" i="26"/>
  <c r="AM49" i="26" s="1"/>
  <c r="L2" i="47"/>
  <c r="U48" i="26"/>
  <c r="U49" i="26" s="1"/>
  <c r="M2" i="47"/>
  <c r="V48" i="26"/>
  <c r="V49" i="26" s="1"/>
  <c r="U2" i="47"/>
  <c r="AD48" i="26"/>
  <c r="AD49" i="26" s="1"/>
  <c r="R2" i="47"/>
  <c r="AA48" i="26"/>
  <c r="AA49" i="26" s="1"/>
  <c r="AB2" i="47"/>
  <c r="AK48" i="26"/>
  <c r="AK49"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52" authorId="0" shapeId="0" xr:uid="{00000000-0006-0000-0800-000001000000}">
      <text>
        <r>
          <rPr>
            <b/>
            <sz val="9"/>
            <color indexed="81"/>
            <rFont val="宋体"/>
            <family val="3"/>
            <charset val="134"/>
          </rPr>
          <t>Author:</t>
        </r>
        <r>
          <rPr>
            <sz val="9"/>
            <color indexed="81"/>
            <rFont val="宋体"/>
            <family val="3"/>
            <charset val="134"/>
          </rPr>
          <t xml:space="preserve">
History data is by nature more self-consistent; prejection data may be not(See sheet"Future Energy Share"</t>
        </r>
      </text>
    </comment>
    <comment ref="S53" authorId="0" shapeId="0" xr:uid="{00000000-0006-0000-0800-000002000000}">
      <text>
        <r>
          <rPr>
            <b/>
            <sz val="9"/>
            <color indexed="81"/>
            <rFont val="宋体"/>
            <family val="3"/>
            <charset val="134"/>
          </rPr>
          <t>WU YZ:</t>
        </r>
        <r>
          <rPr>
            <sz val="9"/>
            <color indexed="81"/>
            <rFont val="宋体"/>
            <family val="3"/>
            <charset val="134"/>
          </rPr>
          <t xml:space="preserve">
should be zero</t>
        </r>
      </text>
    </comment>
    <comment ref="V53" authorId="0" shapeId="0" xr:uid="{00000000-0006-0000-0800-000003000000}">
      <text>
        <r>
          <rPr>
            <b/>
            <sz val="9"/>
            <color indexed="81"/>
            <rFont val="宋体"/>
            <family val="3"/>
            <charset val="134"/>
          </rPr>
          <t>WU YZ:
should be zero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1" authorId="0" shapeId="0" xr:uid="{00000000-0006-0000-0C00-000001000000}">
      <text>
        <r>
          <rPr>
            <b/>
            <sz val="9"/>
            <color indexed="81"/>
            <rFont val="宋体"/>
            <family val="3"/>
            <charset val="134"/>
          </rPr>
          <t>Author:</t>
        </r>
        <r>
          <rPr>
            <sz val="9"/>
            <color indexed="81"/>
            <rFont val="宋体"/>
            <family val="3"/>
            <charset val="134"/>
          </rPr>
          <t xml:space="preserve">
HK 2030 Baseline Review</t>
        </r>
      </text>
    </comment>
    <comment ref="A22" authorId="0" shapeId="0" xr:uid="{00000000-0006-0000-0C00-000002000000}">
      <text>
        <r>
          <rPr>
            <b/>
            <sz val="9"/>
            <color indexed="81"/>
            <rFont val="宋体"/>
            <family val="3"/>
            <charset val="134"/>
          </rPr>
          <t>Author:</t>
        </r>
        <r>
          <rPr>
            <sz val="9"/>
            <color indexed="81"/>
            <rFont val="宋体"/>
            <family val="3"/>
            <charset val="134"/>
          </rPr>
          <t xml:space="preserve">
Transposed from sheet Energy8Sec.
Commercial is the same.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 authorId="0" shapeId="0" xr:uid="{00000000-0006-0000-0D00-000001000000}">
      <text>
        <r>
          <rPr>
            <b/>
            <sz val="9"/>
            <color rgb="FF000000"/>
            <rFont val="Tahoma"/>
            <family val="2"/>
          </rPr>
          <t>Author:</t>
        </r>
        <r>
          <rPr>
            <sz val="9"/>
            <color rgb="FF000000"/>
            <rFont val="Tahoma"/>
            <family val="2"/>
          </rPr>
          <t xml:space="preserve">
</t>
        </r>
        <r>
          <rPr>
            <sz val="9"/>
            <color rgb="FF000000"/>
            <rFont val="Tahoma"/>
            <family val="2"/>
          </rPr>
          <t>Roman to advise how we can improve on the estimate of energy efficiency change between 2016 and 2050?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D14" authorId="0" shapeId="0" xr:uid="{00000000-0006-0000-0E00-000001000000}">
      <text>
        <r>
          <rPr>
            <b/>
            <sz val="9"/>
            <color indexed="81"/>
            <rFont val="宋体"/>
            <family val="3"/>
            <charset val="134"/>
          </rPr>
          <t>Author:</t>
        </r>
        <r>
          <rPr>
            <sz val="9"/>
            <color indexed="81"/>
            <rFont val="宋体"/>
            <family val="3"/>
            <charset val="134"/>
          </rPr>
          <t xml:space="preserve">
Or maybe:
=TREND($AD$3:$AD$13,$A$3:$A$13,A14)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16" authorId="0" shapeId="0" xr:uid="{00000000-0006-0000-1200-000001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Q16" authorId="0" shapeId="0" xr:uid="{00000000-0006-0000-1200-000002000000}">
      <text>
        <r>
          <rPr>
            <sz val="9"/>
            <color indexed="81"/>
            <rFont val="宋体"/>
            <family val="3"/>
            <charset val="134"/>
          </rPr>
          <t>WU YZ:
I think it should be zero; and the differences between the value and 0 might be an indicator implying whether the estimated energy end-use share is proper and self-consistant.</t>
        </r>
      </text>
    </comment>
    <comment ref="N67" authorId="0" shapeId="0" xr:uid="{00000000-0006-0000-1200-000003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Q67" authorId="0" shapeId="0" xr:uid="{00000000-0006-0000-1200-000004000000}">
      <text>
        <r>
          <rPr>
            <sz val="9"/>
            <color indexed="81"/>
            <rFont val="宋体"/>
            <family val="3"/>
            <charset val="134"/>
          </rPr>
          <t>WU YZ:
I think it should be zero; and the differences between the value and 0 might be an indicator implying whether the estimated energy end-use share is proper and self-consistant.</t>
        </r>
      </text>
    </comment>
    <comment ref="Y119" authorId="0" shapeId="0" xr:uid="{00000000-0006-0000-1200-000005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AG125" authorId="0" shapeId="0" xr:uid="{00000000-0006-0000-1200-000006000000}">
      <text>
        <r>
          <rPr>
            <b/>
            <sz val="9"/>
            <color indexed="81"/>
            <rFont val="宋体"/>
            <family val="3"/>
            <charset val="134"/>
          </rPr>
          <t>Author:</t>
        </r>
        <r>
          <rPr>
            <sz val="9"/>
            <color indexed="81"/>
            <rFont val="宋体"/>
            <family val="3"/>
            <charset val="134"/>
          </rPr>
          <t xml:space="preserve">
because they don't use energy other than electricity</t>
        </r>
      </text>
    </comment>
    <comment ref="AG128" authorId="0" shapeId="0" xr:uid="{00000000-0006-0000-1200-000007000000}">
      <text>
        <r>
          <rPr>
            <b/>
            <sz val="9"/>
            <color indexed="81"/>
            <rFont val="宋体"/>
            <family val="3"/>
            <charset val="134"/>
          </rPr>
          <t>Author:</t>
        </r>
        <r>
          <rPr>
            <sz val="9"/>
            <color indexed="81"/>
            <rFont val="宋体"/>
            <family val="3"/>
            <charset val="134"/>
          </rPr>
          <t xml:space="preserve">
They don't use energy other than electricity either.</t>
        </r>
      </text>
    </comment>
    <comment ref="Q131" authorId="0" shapeId="0" xr:uid="{00000000-0006-0000-1200-000008000000}">
      <text>
        <r>
          <rPr>
            <b/>
            <sz val="9"/>
            <color rgb="FF000000"/>
            <rFont val="宋体"/>
            <family val="3"/>
            <charset val="134"/>
          </rPr>
          <t>Author:</t>
        </r>
        <r>
          <rPr>
            <sz val="9"/>
            <color rgb="FF000000"/>
            <rFont val="宋体"/>
            <family val="3"/>
            <charset val="134"/>
          </rPr>
          <t xml:space="preserve">
</t>
        </r>
        <r>
          <rPr>
            <sz val="9"/>
            <color rgb="FF000000"/>
            <rFont val="宋体"/>
            <family val="3"/>
            <charset val="134"/>
          </rPr>
          <t>assume it's fixed at 2014 level, to make other energy type</t>
        </r>
      </text>
    </comment>
    <comment ref="R131" authorId="0" shapeId="0" xr:uid="{00000000-0006-0000-1200-000009000000}">
      <text>
        <r>
          <rPr>
            <b/>
            <sz val="9"/>
            <color indexed="81"/>
            <rFont val="宋体"/>
            <family val="3"/>
            <charset val="134"/>
          </rPr>
          <t>Author:</t>
        </r>
        <r>
          <rPr>
            <sz val="9"/>
            <color indexed="81"/>
            <rFont val="宋体"/>
            <family val="3"/>
            <charset val="134"/>
          </rPr>
          <t xml:space="preserve">
Assume it's fixed at 2014 level-"Others"category not below zero</t>
        </r>
      </text>
    </comment>
    <comment ref="AA164" authorId="0" shapeId="0" xr:uid="{00000000-0006-0000-1200-00000A000000}">
      <text>
        <r>
          <rPr>
            <b/>
            <sz val="9"/>
            <color indexed="81"/>
            <rFont val="宋体"/>
            <family val="3"/>
            <charset val="134"/>
          </rPr>
          <t>Author:</t>
        </r>
        <r>
          <rPr>
            <sz val="9"/>
            <color indexed="81"/>
            <rFont val="宋体"/>
            <family val="3"/>
            <charset val="134"/>
          </rPr>
          <t xml:space="preserve">
may be a little bit  too high;but I haven't found a good adjustment for it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<sst xmlns="http://schemas.openxmlformats.org/spreadsheetml/2006/main" count="2411" uniqueCount="985">
  <si>
    <t>Sources:</t>
  </si>
  <si>
    <t>EMSD Energy End-use Data</t>
    <phoneticPr fontId="3" type="noConversion"/>
  </si>
  <si>
    <t>(Sheets:Energy8Sec, Residential8Fuel, Commercial8Fuel, Residential8EndUse, Commertial8EndUse)</t>
    <phoneticPr fontId="3" type="noConversion"/>
  </si>
  <si>
    <t>Hong Kong Energy End-use Data</t>
  </si>
  <si>
    <t>2013-2018</t>
    <phoneticPr fontId="3" type="noConversion"/>
  </si>
  <si>
    <t>https://www.emsd.gov.hk/en/energy_efficiency/energy_end_use_data_and_consumption_indicators/hong_kong_energy_end_use_data/data/index.html</t>
  </si>
  <si>
    <t>Sheets:"Energy8Sec","Residential8Fuel","Commercial8Fuel","Residential8EndUse" and "Commercial8EndUse" are all from this data source.</t>
    <phoneticPr fontId="3" type="noConversion"/>
  </si>
  <si>
    <t>HK 2030 Report</t>
    <phoneticPr fontId="3" type="noConversion"/>
  </si>
  <si>
    <t>HK 2030: Baseline Review</t>
    <phoneticPr fontId="3" type="noConversion"/>
  </si>
  <si>
    <t>HK Development Bureau, HK Planning Department</t>
  </si>
  <si>
    <t>HK Development Bureau, HK Planning Department</t>
    <phoneticPr fontId="3" type="noConversion"/>
  </si>
  <si>
    <t>Final Report</t>
    <phoneticPr fontId="3" type="noConversion"/>
  </si>
  <si>
    <t xml:space="preserve">Baseline Review: Population, Housing, Economy and Spatial Development Pattern </t>
    <phoneticPr fontId="3" type="noConversion"/>
  </si>
  <si>
    <t>https://www.pland.gov.hk/pland_en/p_study/comp_s/hk2030/eng/finalreport/</t>
    <phoneticPr fontId="3" type="noConversion"/>
  </si>
  <si>
    <t>https://www.hk2030plus.hk/document/Baseline%20Review%20-%20Population_Housing_Economy%20and%20Spatial%20Development%20Pattern_Eng.pdf</t>
  </si>
  <si>
    <t>Household History Data(Sheet: Household_Histo)</t>
    <phoneticPr fontId="3" type="noConversion"/>
  </si>
  <si>
    <t>Household Prediction Data(Sheet: Household_Pred)</t>
    <phoneticPr fontId="3" type="noConversion"/>
  </si>
  <si>
    <t>Census and Statistics Department, HK</t>
  </si>
  <si>
    <t>Table 005 : Statistics on Domestic Households</t>
    <phoneticPr fontId="3" type="noConversion"/>
  </si>
  <si>
    <t>Table E485 : Hong Kong Domestic Household Projections</t>
    <phoneticPr fontId="3" type="noConversion"/>
  </si>
  <si>
    <t>https://www.censtatd.gov.hk/hkstat/sub/sp150.jsp?tableID=005&amp;ID=0&amp;productType=8</t>
    <phoneticPr fontId="3" type="noConversion"/>
  </si>
  <si>
    <t>https://www.censtatd.gov.hk/hkstat/sub/sp190.jsp?productCode=D5320185</t>
    <phoneticPr fontId="3" type="noConversion"/>
  </si>
  <si>
    <t>Floor Area Per capita (Sheet: FloorAreaPer)</t>
    <phoneticPr fontId="3" type="noConversion"/>
  </si>
  <si>
    <t>Population By-census</t>
    <phoneticPr fontId="3" type="noConversion"/>
  </si>
  <si>
    <t xml:space="preserve">Table E129c: Median Per Capita Floor Area of Accommodation by Area of Residence, Household Size, Year and Type of Housing </t>
    <phoneticPr fontId="3" type="noConversion"/>
  </si>
  <si>
    <t>https://www.bycensus2016.gov.hk/en/bc-mt.html?search=E129c</t>
    <phoneticPr fontId="3" type="noConversion"/>
  </si>
  <si>
    <t>Building 2016 Data</t>
    <phoneticPr fontId="3" type="noConversion"/>
  </si>
  <si>
    <t>From Xiaoqian Jiang</t>
    <phoneticPr fontId="3" type="noConversion"/>
  </si>
  <si>
    <t>From Excel "Copy of HK 2016 end use energy consumption rough 20190226 (added the building  waste) revised2 lawrence.xlsx", Sheet"Building"</t>
    <phoneticPr fontId="3" type="noConversion"/>
  </si>
  <si>
    <t>Edition Log (WU Yazhen)</t>
    <phoneticPr fontId="3" type="noConversion"/>
  </si>
  <si>
    <t>20190301_v1</t>
    <phoneticPr fontId="3" type="noConversion"/>
  </si>
  <si>
    <t>This part of data collection has not been finished.</t>
    <phoneticPr fontId="3" type="noConversion"/>
  </si>
  <si>
    <t xml:space="preserve">Next step: </t>
    <phoneticPr fontId="3" type="noConversion"/>
  </si>
  <si>
    <t>1.Found Household Unit Composition to separate urban/rural residential</t>
    <phoneticPr fontId="3" type="noConversion"/>
  </si>
  <si>
    <t>2.Use historical and predicted data of :Population, GDP, total residential area, total commercial arer, average number of people per household, average residential area per household</t>
    <phoneticPr fontId="3" type="noConversion"/>
  </si>
  <si>
    <t>to make linear or non-linear regression to predict future total energy consumption of residential/commercial sector of each fuel type.</t>
    <phoneticPr fontId="3" type="noConversion"/>
  </si>
  <si>
    <t>Then assuming the end-use composition stay unchanged throught the years, and the already-annouced building energy saving goal achieved.</t>
    <phoneticPr fontId="3" type="noConversion"/>
  </si>
  <si>
    <t>To predict future BAU End-use Data</t>
    <phoneticPr fontId="3" type="noConversion"/>
  </si>
  <si>
    <t>20190304_v2</t>
    <phoneticPr fontId="3" type="noConversion"/>
  </si>
  <si>
    <t>Finished:</t>
    <phoneticPr fontId="3" type="noConversion"/>
  </si>
  <si>
    <t>1.Found household history and prediction data.</t>
    <phoneticPr fontId="3" type="noConversion"/>
  </si>
  <si>
    <t>2.Found Commercial AreaUse relative prediction ( average living area per household, household number; average living area per person, population) to predict residential area.</t>
    <phoneticPr fontId="3" type="noConversion"/>
  </si>
  <si>
    <t xml:space="preserve">3.Done regression for estimating future residential energy consumption and </t>
    <phoneticPr fontId="3" type="noConversion"/>
  </si>
  <si>
    <t>20190305_v3</t>
    <phoneticPr fontId="3" type="noConversion"/>
  </si>
  <si>
    <t>1.Finished 1st version of Future Energy (End-use) Share Prediction.</t>
    <phoneticPr fontId="3" type="noConversion"/>
  </si>
  <si>
    <t>2.Finished all calculation and got the final results, with TJ been converted to BTU.</t>
    <phoneticPr fontId="3" type="noConversion"/>
  </si>
  <si>
    <t>20190306_v4</t>
    <phoneticPr fontId="3" type="noConversion"/>
  </si>
  <si>
    <t>1. Change future household prediction data (from using"HK 2030 Baseline.pdf" as source, to using the HK C&amp;SD predictions in sheet"Household_Pred").</t>
    <phoneticPr fontId="3" type="noConversion"/>
  </si>
  <si>
    <t>2. The End-use "cooking" category has been put into "Appliance", not "Others".</t>
    <phoneticPr fontId="3" type="noConversion"/>
  </si>
  <si>
    <t>3. The breakdown of rural/urban residential is finished.</t>
    <phoneticPr fontId="3" type="noConversion"/>
  </si>
  <si>
    <t>4. The final data sheets are in the same format as the EPS US model inputdata sheets'.</t>
    <phoneticPr fontId="3" type="noConversion"/>
  </si>
  <si>
    <t>20190404_v5</t>
    <phoneticPr fontId="3" type="noConversion"/>
  </si>
  <si>
    <t>Revised:</t>
    <phoneticPr fontId="3" type="noConversion"/>
  </si>
  <si>
    <t>1. The missing final sheets for commercial have been added.</t>
    <phoneticPr fontId="3" type="noConversion"/>
  </si>
  <si>
    <t>2. The data form in the sheets colored blue is adjust to be the same with the US model(start year from 2014).</t>
    <phoneticPr fontId="3" type="noConversion"/>
  </si>
  <si>
    <t xml:space="preserve">3. Limit the use of coal&amp;oil, and also gas, to be only in the appliance, not for lighting and other end-use sectors. </t>
    <phoneticPr fontId="3" type="noConversion"/>
  </si>
  <si>
    <t>(Adjustments are mainly made in the sheet "Future Energy share", on the breakdown of oil&amp;coal (or gas) among different end-use types.</t>
    <phoneticPr fontId="3" type="noConversion"/>
  </si>
  <si>
    <t>20190906_v6</t>
    <phoneticPr fontId="3" type="noConversion"/>
  </si>
  <si>
    <r>
      <t xml:space="preserve">1. Change the method of predicting </t>
    </r>
    <r>
      <rPr>
        <b/>
        <sz val="11"/>
        <color theme="1"/>
        <rFont val="Calibri"/>
        <family val="3"/>
        <charset val="134"/>
        <scheme val="minor"/>
      </rPr>
      <t>total</t>
    </r>
    <r>
      <rPr>
        <sz val="11"/>
        <color theme="1"/>
        <rFont val="Calibri"/>
        <family val="2"/>
        <scheme val="minor"/>
      </rPr>
      <t xml:space="preserve"> </t>
    </r>
    <r>
      <rPr>
        <b/>
        <sz val="11"/>
        <color theme="1"/>
        <rFont val="Calibri"/>
        <family val="3"/>
        <charset val="134"/>
        <scheme val="minor"/>
      </rPr>
      <t>private/public/commercial building's energy demand</t>
    </r>
    <r>
      <rPr>
        <sz val="11"/>
        <color theme="1"/>
        <rFont val="Calibri"/>
        <family val="2"/>
        <scheme val="minor"/>
      </rPr>
      <t xml:space="preserve">:  first predict future trend of per capita/per area energy consumption, </t>
    </r>
    <phoneticPr fontId="3" type="noConversion"/>
  </si>
  <si>
    <t>and multiply them with population/area projections, than to directly predict total energy consumption by regression.</t>
  </si>
  <si>
    <r>
      <t xml:space="preserve">2. No longer divide the house as urban/rural residential, but </t>
    </r>
    <r>
      <rPr>
        <b/>
        <sz val="11"/>
        <color theme="1"/>
        <rFont val="Calibri"/>
        <family val="3"/>
        <charset val="134"/>
        <scheme val="minor"/>
      </rPr>
      <t>divide them as private/public residential</t>
    </r>
    <r>
      <rPr>
        <sz val="11"/>
        <color theme="1"/>
        <rFont val="Calibri"/>
        <family val="2"/>
        <scheme val="minor"/>
      </rPr>
      <t xml:space="preserve"> (and mark private as urban, residential as rural in the dark-blue final input sheets)</t>
    </r>
    <phoneticPr fontId="3" type="noConversion"/>
  </si>
  <si>
    <t>Method</t>
    <phoneticPr fontId="3" type="noConversion"/>
  </si>
  <si>
    <t>Step1: Predict Future Total Energy Consumption by Segments using socioeconomic and energy intensity data</t>
    <phoneticPr fontId="3" type="noConversion"/>
  </si>
  <si>
    <t>predict per capita/per area energy consumption and then multiply it with population/area projections. Not directly predict total energy consumption by regression.</t>
    <phoneticPr fontId="3" type="noConversion"/>
  </si>
  <si>
    <t>Step2: Predict Future Energy Type Share by using trend function.</t>
    <phoneticPr fontId="3" type="noConversion"/>
  </si>
  <si>
    <t>Step3: Predict Future End-use share of different(electricity/non-electricity)  type in residential energy use</t>
    <phoneticPr fontId="3" type="noConversion"/>
  </si>
  <si>
    <t>Assumptions &amp; Classicification</t>
    <phoneticPr fontId="3" type="noConversion"/>
  </si>
  <si>
    <t>1. "Coal and oil"(in statistics: energy consumption by fuel) is made up of 50% coal, 50% oil. And "Town gas &amp;Oil gas" equals to natural gas</t>
    <phoneticPr fontId="3" type="noConversion"/>
  </si>
  <si>
    <t>2. The end-use "Hot water" are categorized as "Appliance", not as part of the "Heating".</t>
    <phoneticPr fontId="3" type="noConversion"/>
  </si>
  <si>
    <t xml:space="preserve">3. No energy consumption in "Heating"(In EPS model note, the "Heating" means distributed heating, which HK does not have), and thus </t>
    <phoneticPr fontId="3" type="noConversion"/>
  </si>
  <si>
    <t>4. The end-use "Appliance" includes "Hot water &amp;Refrigeration", "Office equipment" and "Cooking", while the category "Others" includes "Others" in the Residential/Commercial sector segment statistic.</t>
    <phoneticPr fontId="3" type="noConversion"/>
  </si>
  <si>
    <t>5. The share of end-uses in all different non-electricity energy types are the same.</t>
    <phoneticPr fontId="3" type="noConversion"/>
  </si>
  <si>
    <t>Future considerations</t>
    <phoneticPr fontId="3" type="noConversion"/>
  </si>
  <si>
    <t>1.The fact that older peole' energy demand is different and the HK population structure is changing</t>
    <phoneticPr fontId="3" type="noConversion"/>
  </si>
  <si>
    <t>2. Classification of end-use categories. E.g. perhaps "Cooking" should be grouped into "Appliance" category, not "Others"?</t>
    <phoneticPr fontId="3" type="noConversion"/>
  </si>
  <si>
    <t>3. Refer to BEC (HK Energy-saving Report)?</t>
    <phoneticPr fontId="3" type="noConversion"/>
  </si>
  <si>
    <t>4. Use "Fitting" instead of "Trend" at some places? Fitting gets smoothing curve, while the results of "Trend" are like piecewise function.</t>
    <phoneticPr fontId="3" type="noConversion"/>
  </si>
  <si>
    <t>5. Improving regression estimation? E.g. "Residential Emission is mainly driven by per capita energy use"(Xu et al. Applied Energy. 2014,132).</t>
    <phoneticPr fontId="3" type="noConversion"/>
  </si>
  <si>
    <r>
      <t>6.</t>
    </r>
    <r>
      <rPr>
        <sz val="11"/>
        <color theme="1"/>
        <rFont val="Calibri"/>
        <family val="2"/>
        <scheme val="minor"/>
      </rPr>
      <t xml:space="preserve">Try decomposition method similar with KAYA? Ref: Xu et al,Applied Energy.2014. </t>
    </r>
    <phoneticPr fontId="3" type="noConversion"/>
  </si>
  <si>
    <t>7. Try predicting average residential area per capita, and then total residential area. Maybe this is an important independent variable for regression.</t>
    <phoneticPr fontId="3" type="noConversion"/>
  </si>
  <si>
    <t>Question:</t>
  </si>
  <si>
    <r>
      <t>Should the team consider the 7 items listed on the</t>
    </r>
    <r>
      <rPr>
        <b/>
        <sz val="11"/>
        <color theme="1"/>
        <rFont val="Calibri"/>
        <family val="2"/>
        <scheme val="minor"/>
      </rPr>
      <t xml:space="preserve"> Future Consideration </t>
    </r>
    <r>
      <rPr>
        <sz val="11"/>
        <color theme="1"/>
        <rFont val="Calibri"/>
        <family val="2"/>
        <scheme val="minor"/>
      </rPr>
      <t>section</t>
    </r>
    <r>
      <rPr>
        <b/>
        <sz val="11"/>
        <color theme="1"/>
        <rFont val="Calibri"/>
        <family val="2"/>
        <scheme val="minor"/>
      </rPr>
      <t xml:space="preserve"> </t>
    </r>
    <r>
      <rPr>
        <sz val="11"/>
        <color theme="1"/>
        <rFont val="Calibri"/>
        <family val="2"/>
        <scheme val="minor"/>
      </rPr>
      <t>when updating?</t>
    </r>
  </si>
  <si>
    <t>10. Sheet "Future Energy Share", data in row 64-65 is currently not yet supported by valid material; they are assumed by me.</t>
    <phoneticPr fontId="3" type="noConversion"/>
  </si>
  <si>
    <t>About</t>
    <phoneticPr fontId="3" type="noConversion"/>
  </si>
  <si>
    <t>InternalLink</t>
    <phoneticPr fontId="3" type="noConversion"/>
  </si>
  <si>
    <t>Household_Histo</t>
    <phoneticPr fontId="3" type="noConversion"/>
  </si>
  <si>
    <t>Household_Pred</t>
    <phoneticPr fontId="3" type="noConversion"/>
  </si>
  <si>
    <t>Energy8Sec</t>
    <phoneticPr fontId="3" type="noConversion"/>
  </si>
  <si>
    <t>Residential8Fuel</t>
    <phoneticPr fontId="3" type="noConversion"/>
  </si>
  <si>
    <t>Commercial8Fuel</t>
    <phoneticPr fontId="3" type="noConversion"/>
  </si>
  <si>
    <t>Residential8EndUse</t>
    <phoneticPr fontId="3" type="noConversion"/>
  </si>
  <si>
    <t>Commercial8EndUse</t>
    <phoneticPr fontId="3" type="noConversion"/>
  </si>
  <si>
    <t>Commercial</t>
    <phoneticPr fontId="3" type="noConversion"/>
  </si>
  <si>
    <t>Residential</t>
    <phoneticPr fontId="3" type="noConversion"/>
  </si>
  <si>
    <t>Future Pred</t>
    <phoneticPr fontId="3" type="noConversion"/>
  </si>
  <si>
    <t>Futre Data</t>
    <phoneticPr fontId="3" type="noConversion"/>
  </si>
  <si>
    <t>transition for STATA</t>
    <phoneticPr fontId="3" type="noConversion"/>
  </si>
  <si>
    <t>STATA Reg Result</t>
    <phoneticPr fontId="3" type="noConversion"/>
  </si>
  <si>
    <t xml:space="preserve">BTU Factor </t>
    <phoneticPr fontId="3" type="noConversion"/>
  </si>
  <si>
    <t>Note</t>
    <phoneticPr fontId="3" type="noConversion"/>
  </si>
  <si>
    <t>Table005: Statistics on Domestic Households</t>
  </si>
  <si>
    <t>Period</t>
  </si>
  <si>
    <t>Number of domestic households ('000)</t>
  </si>
  <si>
    <t>Average domestic household size</t>
  </si>
  <si>
    <t>Owner-occupiers as a proportion of total number of domestic households (%)</t>
  </si>
  <si>
    <t>Owner-occupiers in public sector housing as a proportion of total number of domestic households in public sector housing (%)</t>
  </si>
  <si>
    <t>Owner-occupiers in private sector housing as a proportion of total number of domestic households in private sector housing (%)</t>
  </si>
  <si>
    <t>N.A.</t>
  </si>
  <si>
    <t>10/1981 - 12/1981</t>
  </si>
  <si>
    <t>1/1982 - 3/1982</t>
  </si>
  <si>
    <t>4/1982 - 6/1982</t>
  </si>
  <si>
    <t>7/1982 - 9/1982</t>
  </si>
  <si>
    <t>10/1982 - 12/1982</t>
  </si>
  <si>
    <t>1/1983 - 3/1983</t>
  </si>
  <si>
    <t>4/1983 - 6/1983</t>
  </si>
  <si>
    <t>7/1983 - 9/1983</t>
  </si>
  <si>
    <t>10/1983 - 12/1983</t>
  </si>
  <si>
    <t>1/1984 - 3/1984</t>
  </si>
  <si>
    <t>4/1984 - 6/1984</t>
  </si>
  <si>
    <t>7/1984 - 9/1984</t>
  </si>
  <si>
    <t>10/1984 - 12/1984</t>
  </si>
  <si>
    <t>1/1985 - 3/1985</t>
  </si>
  <si>
    <t>4/1985 - 6/1985</t>
  </si>
  <si>
    <t>7/1985 - 9/1985</t>
  </si>
  <si>
    <t>10/1985 - 12/1985</t>
  </si>
  <si>
    <t>1/1986 - 3/1986</t>
  </si>
  <si>
    <t>4/1986 - 6/1986</t>
  </si>
  <si>
    <t>7/1986 - 9/1986</t>
  </si>
  <si>
    <t>10/1986 - 12/1986</t>
  </si>
  <si>
    <t>1/1987 - 3/1987</t>
  </si>
  <si>
    <t>4/1987 - 6/1987</t>
  </si>
  <si>
    <t>7/1987 - 9/1987</t>
  </si>
  <si>
    <t>10/1987 - 12/1987</t>
  </si>
  <si>
    <t>1/1988 - 3/1988</t>
  </si>
  <si>
    <t>4/1988 - 6/1988</t>
  </si>
  <si>
    <t>7/1988 - 9/1988</t>
  </si>
  <si>
    <t>10/1988 - 12/1988</t>
  </si>
  <si>
    <t>1/1989 - 3/1989</t>
  </si>
  <si>
    <t>4/1989 - 6/1989</t>
  </si>
  <si>
    <t>7/1989 - 9/1989</t>
  </si>
  <si>
    <t>10/1989 - 12/1989</t>
  </si>
  <si>
    <t>1/1990 - 3/1990</t>
  </si>
  <si>
    <t>4/1990 - 6/1990</t>
  </si>
  <si>
    <t>7/1990 - 9/1990</t>
  </si>
  <si>
    <t>10/1990 - 12/1990</t>
  </si>
  <si>
    <t>1/1991 - 3/1991</t>
  </si>
  <si>
    <t>4/1991 - 6/1991</t>
  </si>
  <si>
    <t>7/1991 - 9/1991</t>
  </si>
  <si>
    <t>10/1991 - 12/1991</t>
  </si>
  <si>
    <t>1/1992 - 3/1992</t>
  </si>
  <si>
    <t>4/1992 - 6/1992</t>
  </si>
  <si>
    <t>7/1992 - 9/1992</t>
  </si>
  <si>
    <t>10/1992 - 12/1992</t>
  </si>
  <si>
    <t>1/1993 - 3/1993</t>
  </si>
  <si>
    <t>2/1993 - 4/1993</t>
  </si>
  <si>
    <t>3/1993 - 5/1993</t>
  </si>
  <si>
    <t>4/1993 - 6/1993</t>
  </si>
  <si>
    <t>5/1993 - 7/1993</t>
  </si>
  <si>
    <t>6/1993 - 8/1993</t>
  </si>
  <si>
    <t>7/1993 - 9/1993</t>
  </si>
  <si>
    <t>8/1993 - 10/1993</t>
  </si>
  <si>
    <t>9/1993 - 11/1993</t>
  </si>
  <si>
    <t>10/1993 - 12/1993</t>
  </si>
  <si>
    <t>11/1993 - 1/1994</t>
  </si>
  <si>
    <t>12/1993 - 2/1994</t>
  </si>
  <si>
    <t>1/1994 - 3/1994</t>
  </si>
  <si>
    <t>2/1994 - 4/1994</t>
  </si>
  <si>
    <t>3/1994 - 5/1994</t>
  </si>
  <si>
    <t>4/1994 - 6/1994</t>
  </si>
  <si>
    <t>5/1994 - 7/1994</t>
  </si>
  <si>
    <t>6/1994 - 8/1994</t>
  </si>
  <si>
    <t>7/1994 - 9/1994</t>
  </si>
  <si>
    <t>8/1994 - 10/1994</t>
  </si>
  <si>
    <t>9/1994 - 11/1994</t>
  </si>
  <si>
    <t>10/1994 - 12/1994</t>
  </si>
  <si>
    <t>11/1994 - 1/1995</t>
  </si>
  <si>
    <t>12/1994 - 2/1995</t>
  </si>
  <si>
    <t>1/1995 - 3/1995</t>
  </si>
  <si>
    <t>2/1995 - 4/1995</t>
  </si>
  <si>
    <t>3/1995 - 5/1995</t>
  </si>
  <si>
    <t>4/1995 - 6/1995</t>
  </si>
  <si>
    <t>5/1995 - 7/1995</t>
  </si>
  <si>
    <t>6/1995 - 8/1995</t>
  </si>
  <si>
    <t>7/1995 - 9/1995</t>
  </si>
  <si>
    <t>8/1995 - 10/1995</t>
  </si>
  <si>
    <t>9/1995 - 11/1995</t>
  </si>
  <si>
    <t>10/1995 - 12/1995</t>
  </si>
  <si>
    <t>11/1995 - 1/1996</t>
  </si>
  <si>
    <t>12/1995 - 2/1996</t>
  </si>
  <si>
    <t>1/1996 - 3/1996</t>
  </si>
  <si>
    <t>2/1996 - 4/1996</t>
  </si>
  <si>
    <t>3/1996 - 5/1996</t>
  </si>
  <si>
    <t>4/1996 - 6/1996</t>
  </si>
  <si>
    <t>5/1996 - 7/1996</t>
  </si>
  <si>
    <t>6/1996 - 8/1996</t>
  </si>
  <si>
    <t>7/1996 - 9/1996</t>
  </si>
  <si>
    <t>8/1996 - 10/1996</t>
  </si>
  <si>
    <t>9/1996 - 11/1996</t>
  </si>
  <si>
    <t>10/1996 - 12/1996</t>
  </si>
  <si>
    <t>11/1996 - 1/1997</t>
  </si>
  <si>
    <t>12/1996 - 2/1997</t>
  </si>
  <si>
    <t>1/1997 - 3/1997</t>
  </si>
  <si>
    <t>2/1997 - 4/1997</t>
  </si>
  <si>
    <t>3/1997 - 5/1997</t>
  </si>
  <si>
    <t>4/1997 - 6/1997</t>
  </si>
  <si>
    <t>5/1997 - 7/1997</t>
  </si>
  <si>
    <t>6/1997 - 8/1997</t>
  </si>
  <si>
    <t>7/1997 - 9/1997</t>
  </si>
  <si>
    <t>8/1997 - 10/1997</t>
  </si>
  <si>
    <t>9/1997 - 11/1997</t>
  </si>
  <si>
    <t>10/1997 - 12/1997</t>
  </si>
  <si>
    <t>11/1997 - 1/1998</t>
  </si>
  <si>
    <t>12/1997 - 2/1998</t>
  </si>
  <si>
    <t>1/1998 - 3/1998</t>
  </si>
  <si>
    <t>2/1998 - 4/1998</t>
  </si>
  <si>
    <t>3/1998 - 5/1998</t>
  </si>
  <si>
    <t>4/1998 - 6/1998</t>
  </si>
  <si>
    <t>5/1998 - 7/1998</t>
  </si>
  <si>
    <t>6/1998 - 8/1998</t>
  </si>
  <si>
    <t>7/1998 - 9/1998</t>
  </si>
  <si>
    <t>8/1998 - 10/1998</t>
  </si>
  <si>
    <t>9/1998 - 11/1998</t>
  </si>
  <si>
    <t>10/1998 - 12/1998</t>
  </si>
  <si>
    <t>11/1998 - 1/1999</t>
  </si>
  <si>
    <t>12/1998 - 2/1999</t>
  </si>
  <si>
    <t>1/1999 - 3/1999</t>
  </si>
  <si>
    <t>2/1999 - 4/1999</t>
  </si>
  <si>
    <t>3/1999 - 5/1999</t>
  </si>
  <si>
    <t>4/1999 - 6/1999</t>
  </si>
  <si>
    <t>5/1999 - 7/1999</t>
  </si>
  <si>
    <t>6/1999 - 8/1999</t>
  </si>
  <si>
    <t>7/1999 - 9/1999</t>
  </si>
  <si>
    <t>8/1999 - 10/1999</t>
  </si>
  <si>
    <t>9/1999 - 11/1999</t>
  </si>
  <si>
    <t>10/1999 - 12/1999</t>
  </si>
  <si>
    <t>11/1999 - 1/2000</t>
  </si>
  <si>
    <t>12/1999 - 2/2000</t>
  </si>
  <si>
    <t>1/2000 - 3/2000</t>
  </si>
  <si>
    <t>2/2000 - 4/2000</t>
  </si>
  <si>
    <t>3/2000 - 5/2000</t>
  </si>
  <si>
    <t>4/2000 - 6/2000</t>
  </si>
  <si>
    <t>5/2000 - 7/2000</t>
  </si>
  <si>
    <t>6/2000 - 8/2000</t>
  </si>
  <si>
    <t>7/2000 - 9/2000</t>
  </si>
  <si>
    <t>8/2000 - 10/2000</t>
  </si>
  <si>
    <t>9/2000 - 11/2000</t>
  </si>
  <si>
    <t>10/2000 - 12/2000</t>
  </si>
  <si>
    <t>11/2000 - 1/2001</t>
  </si>
  <si>
    <t>12/2000 - 2/2001</t>
  </si>
  <si>
    <t>1/2001 - 3/2001</t>
  </si>
  <si>
    <t>2/2001 - 4/2001</t>
  </si>
  <si>
    <t>3/2001 - 5/2001</t>
  </si>
  <si>
    <t>4/2001 - 6/2001</t>
  </si>
  <si>
    <t>5/2001 - 7/2001</t>
  </si>
  <si>
    <t>6/2001 - 8/2001</t>
  </si>
  <si>
    <t>7/2001 - 9/2001</t>
  </si>
  <si>
    <t>8/2001 - 10/2001</t>
  </si>
  <si>
    <t>9/2001 - 11/2001</t>
  </si>
  <si>
    <t>10/2001 - 12/2001</t>
  </si>
  <si>
    <t>11/2001 - 1/2002</t>
  </si>
  <si>
    <t>12/2001 - 2/2002</t>
  </si>
  <si>
    <t>1/2002 - 3/2002</t>
  </si>
  <si>
    <t>2/2002 - 4/2002</t>
  </si>
  <si>
    <t>3/2002 - 5/2002</t>
  </si>
  <si>
    <t>4/2002 - 6/2002</t>
  </si>
  <si>
    <t>5/2002 - 7/2002</t>
  </si>
  <si>
    <t>6/2002 - 8/2002</t>
  </si>
  <si>
    <t>7/2002 - 9/2002</t>
  </si>
  <si>
    <t>8/2002 - 10/2002</t>
  </si>
  <si>
    <t>9/2002 - 11/2002</t>
  </si>
  <si>
    <t>10/2002 - 12/2002</t>
  </si>
  <si>
    <t>11/2002 - 1/2003</t>
  </si>
  <si>
    <t>12/2002 - 2/2003</t>
  </si>
  <si>
    <t>1/2003 - 3/2003</t>
  </si>
  <si>
    <t>2/2003 - 4/2003</t>
  </si>
  <si>
    <t>3/2003 - 5/2003</t>
  </si>
  <si>
    <t>4/2003 - 6/2003</t>
  </si>
  <si>
    <t>5/2003 - 7/2003</t>
  </si>
  <si>
    <t>6/2003 - 8/2003</t>
  </si>
  <si>
    <t>7/2003 - 9/2003</t>
  </si>
  <si>
    <t>8/2003 - 10/2003</t>
  </si>
  <si>
    <t>9/2003 - 11/2003</t>
  </si>
  <si>
    <t>10/2003 - 12/2003</t>
  </si>
  <si>
    <t>11/2003 - 1/2004</t>
  </si>
  <si>
    <t>12/2003 - 2/2004</t>
  </si>
  <si>
    <t>1/2004 - 3/2004</t>
  </si>
  <si>
    <t>2/2004 - 4/2004</t>
  </si>
  <si>
    <t>3/2004 - 5/2004</t>
  </si>
  <si>
    <t>4/2004 - 6/2004</t>
  </si>
  <si>
    <t>5/2004 - 7/2004</t>
  </si>
  <si>
    <t>6/2004 - 8/2004</t>
  </si>
  <si>
    <t>7/2004 - 9/2004</t>
  </si>
  <si>
    <t>8/2004 - 10/2004</t>
  </si>
  <si>
    <t>9/2004 - 11/2004</t>
  </si>
  <si>
    <t>10/2004 - 12/2004</t>
  </si>
  <si>
    <t>11/2004 - 1/2005</t>
  </si>
  <si>
    <t>12/2004 - 2/2005</t>
  </si>
  <si>
    <t>1/2005 - 3/2005</t>
  </si>
  <si>
    <t>2/2005 - 4/2005</t>
  </si>
  <si>
    <t>3/2005 - 5/2005</t>
  </si>
  <si>
    <t>4/2005 - 6/2005</t>
  </si>
  <si>
    <t>5/2005 - 7/2005</t>
  </si>
  <si>
    <t>6/2005 - 8/2005</t>
  </si>
  <si>
    <t>7/2005 - 9/2005</t>
  </si>
  <si>
    <t>8/2005 - 10/2005</t>
  </si>
  <si>
    <t>9/2005 - 11/2005</t>
  </si>
  <si>
    <t>10/2005 - 12/2005</t>
  </si>
  <si>
    <t>11/2005 - 1/2006</t>
  </si>
  <si>
    <t>12/2005 - 2/2006</t>
  </si>
  <si>
    <t>1/2006 - 3/2006</t>
  </si>
  <si>
    <t>2/2006 - 4/2006</t>
  </si>
  <si>
    <t>3/2006 - 5/2006</t>
  </si>
  <si>
    <t>4/2006 - 6/2006</t>
  </si>
  <si>
    <t>5/2006 - 7/2006</t>
  </si>
  <si>
    <t>6/2006 - 8/2006</t>
  </si>
  <si>
    <t>7/2006 - 9/2006</t>
  </si>
  <si>
    <t>8/2006 - 10/2006</t>
  </si>
  <si>
    <t>9/2006 - 11/2006</t>
  </si>
  <si>
    <t>10/2006 - 12/2006</t>
  </si>
  <si>
    <t>11/2006 - 1/2007</t>
  </si>
  <si>
    <t>12/2006 - 2/2007</t>
  </si>
  <si>
    <t>1/2007 - 3/2007</t>
  </si>
  <si>
    <t>2/2007 - 4/2007</t>
  </si>
  <si>
    <t>3/2007 - 5/2007</t>
  </si>
  <si>
    <t>4/2007 - 6/2007</t>
  </si>
  <si>
    <t>5/2007 - 7/2007</t>
  </si>
  <si>
    <t>6/2007 - 8/2007</t>
  </si>
  <si>
    <t>7/2007 - 9/2007</t>
  </si>
  <si>
    <t>8/2007 - 10/2007</t>
  </si>
  <si>
    <t>9/2007 - 11/2007</t>
  </si>
  <si>
    <t>10/2007 - 12/2007</t>
  </si>
  <si>
    <t>11/2007 - 1/2008</t>
  </si>
  <si>
    <t>12/2007 - 2/2008</t>
  </si>
  <si>
    <t>1/2008 - 3/2008</t>
  </si>
  <si>
    <t>2/2008 - 4/2008</t>
  </si>
  <si>
    <t>3/2008 - 5/2008</t>
  </si>
  <si>
    <t>4/2008 - 6/2008</t>
  </si>
  <si>
    <t>5/2008 - 7/2008</t>
  </si>
  <si>
    <t>6/2008 - 8/2008</t>
  </si>
  <si>
    <t>7/2008 - 9/2008</t>
  </si>
  <si>
    <t>8/2008 - 10/2008</t>
  </si>
  <si>
    <t>9/2008 - 11/2008</t>
  </si>
  <si>
    <t>10/2008 - 12/2008</t>
  </si>
  <si>
    <t>11/2008 - 1/2009</t>
  </si>
  <si>
    <t>12/2008 - 2/2009</t>
  </si>
  <si>
    <t>1/2009 - 3/2009</t>
  </si>
  <si>
    <t>2/2009 - 4/2009</t>
  </si>
  <si>
    <t>3/2009 - 5/2009</t>
  </si>
  <si>
    <t>4/2009 - 6/2009</t>
  </si>
  <si>
    <t>5/2009 - 7/2009</t>
  </si>
  <si>
    <t>6/2009 - 8/2009</t>
  </si>
  <si>
    <t>7/2009 - 9/2009</t>
  </si>
  <si>
    <t>8/2009 - 10/2009</t>
  </si>
  <si>
    <t>9/2009 - 11/2009</t>
  </si>
  <si>
    <t>10/2009 - 12/2009</t>
  </si>
  <si>
    <t>11/2009 - 1/2010</t>
  </si>
  <si>
    <t>12/2009 - 2/2010</t>
  </si>
  <si>
    <t>1/2010 - 3/2010</t>
  </si>
  <si>
    <t>2/2010 - 4/2010</t>
  </si>
  <si>
    <t>3/2010 - 5/2010</t>
  </si>
  <si>
    <t>4/2010 - 6/2010</t>
  </si>
  <si>
    <t>5/2010 - 7/2010</t>
  </si>
  <si>
    <t>6/2010 - 8/2010</t>
  </si>
  <si>
    <t>7/2010 - 9/2010</t>
  </si>
  <si>
    <t>8/2010 - 10/2010</t>
  </si>
  <si>
    <t>9/2010 - 11/2010</t>
  </si>
  <si>
    <t>10/2010 - 12/2010</t>
  </si>
  <si>
    <t>11/2010 - 1/2011</t>
  </si>
  <si>
    <t>12/2010 - 2/2011</t>
  </si>
  <si>
    <t>1/2011 - 3/2011</t>
  </si>
  <si>
    <t>2/2011 - 4/2011</t>
  </si>
  <si>
    <t>3/2011 - 5/2011</t>
  </si>
  <si>
    <t>4/2011 - 6/2011</t>
  </si>
  <si>
    <t>5/2011 - 7/2011</t>
  </si>
  <si>
    <t>6/2011 - 8/2011</t>
  </si>
  <si>
    <t>7/2011 - 9/2011</t>
  </si>
  <si>
    <t>8/2011 - 10/2011</t>
  </si>
  <si>
    <t>9/2011 - 11/2011</t>
  </si>
  <si>
    <t>10/2011 - 12/2011</t>
  </si>
  <si>
    <t>11/2011 - 1/2012</t>
  </si>
  <si>
    <t>12/2011 - 2/2012</t>
  </si>
  <si>
    <t>1/2012 - 3/2012</t>
  </si>
  <si>
    <t>2/2012 - 4/2012</t>
  </si>
  <si>
    <t>3/2012 - 5/2012</t>
  </si>
  <si>
    <t>4/2012 - 6/2012</t>
  </si>
  <si>
    <t>5/2012 - 7/2012</t>
  </si>
  <si>
    <t>6/2012 - 8/2012</t>
  </si>
  <si>
    <t>7/2012 - 9/2012</t>
  </si>
  <si>
    <t>8/2012 - 10/2012</t>
  </si>
  <si>
    <t>9/2012 - 11/2012</t>
  </si>
  <si>
    <t>10/2012 - 12/2012</t>
  </si>
  <si>
    <t>11/2012 - 1/2013</t>
  </si>
  <si>
    <t>12/2012 - 2/2013</t>
  </si>
  <si>
    <t>1/2013 - 3/2013</t>
  </si>
  <si>
    <t>2/2013 - 4/2013</t>
  </si>
  <si>
    <t>3/2013 - 5/2013</t>
  </si>
  <si>
    <t>4/2013 - 6/2013</t>
  </si>
  <si>
    <t>5/2013 - 7/2013</t>
  </si>
  <si>
    <t>6/2013 - 8/2013</t>
  </si>
  <si>
    <t>7/2013 - 9/2013</t>
  </si>
  <si>
    <t>8/2013 - 10/2013</t>
  </si>
  <si>
    <t>9/2013 - 11/2013</t>
  </si>
  <si>
    <t>10/2013 - 12/2013</t>
  </si>
  <si>
    <t>11/2013 - 1/2014</t>
  </si>
  <si>
    <t>12/2013 - 2/2014</t>
  </si>
  <si>
    <t>1/2014 - 3/2014</t>
  </si>
  <si>
    <t>2/2014 - 4/2014</t>
  </si>
  <si>
    <t>3/2014 - 5/2014</t>
  </si>
  <si>
    <t>4/2014 - 6/2014</t>
  </si>
  <si>
    <t>5/2014 - 7/2014</t>
  </si>
  <si>
    <t>6/2014 - 8/2014</t>
  </si>
  <si>
    <t>7/2014 - 9/2014</t>
  </si>
  <si>
    <t>8/2014 - 10/2014</t>
  </si>
  <si>
    <t>9/2014 - 11/2014</t>
  </si>
  <si>
    <t>10/2014 - 12/2014</t>
  </si>
  <si>
    <t>11/2014 - 1/2015</t>
  </si>
  <si>
    <t>12/2014 - 2/2015</t>
  </si>
  <si>
    <t>1/2015 - 3/2015</t>
  </si>
  <si>
    <t>2/2015 - 4/2015</t>
  </si>
  <si>
    <t>3/2015 - 5/2015</t>
  </si>
  <si>
    <t>4/2015 - 6/2015</t>
  </si>
  <si>
    <t>5/2015 - 7/2015</t>
  </si>
  <si>
    <t>6/2015 - 8/2015</t>
  </si>
  <si>
    <t>7/2015 - 9/2015</t>
  </si>
  <si>
    <t>8/2015 - 10/2015</t>
  </si>
  <si>
    <t>9/2015 - 11/2015</t>
  </si>
  <si>
    <t>10/2015 - 12/2015</t>
  </si>
  <si>
    <t>11/2015 - 1/2016</t>
  </si>
  <si>
    <t>12/2015 - 2/2016</t>
  </si>
  <si>
    <t>1/2016 - 3/2016</t>
  </si>
  <si>
    <t>2/2016 - 4/2016</t>
  </si>
  <si>
    <t>3/2016 - 5/2016</t>
  </si>
  <si>
    <t>4/2016 - 6/2016</t>
  </si>
  <si>
    <t>5/2016 - 7/2016</t>
  </si>
  <si>
    <t>6/2016 - 8/2016</t>
  </si>
  <si>
    <t>7/2016 - 9/2016</t>
  </si>
  <si>
    <t>8/2016 - 10/2016</t>
  </si>
  <si>
    <t>9/2016 - 11/2016</t>
  </si>
  <si>
    <t>10/2016 - 12/2016</t>
  </si>
  <si>
    <t>11/2016 - 1/2017</t>
  </si>
  <si>
    <t>12/2016 - 2/2017</t>
  </si>
  <si>
    <t>1/2017 - 3/2017</t>
  </si>
  <si>
    <t>2/2017 - 4/2017</t>
  </si>
  <si>
    <t>3/2017 - 5/2017</t>
  </si>
  <si>
    <t>4/2017 - 6/2017</t>
  </si>
  <si>
    <t>5/2017 - 7/2017</t>
  </si>
  <si>
    <t>6/2017 - 8/2017</t>
  </si>
  <si>
    <t>7/2017 - 9/2017</t>
  </si>
  <si>
    <t>8/2017 - 10/2017</t>
  </si>
  <si>
    <t>9/2017 - 11/2017</t>
  </si>
  <si>
    <t>10/2017 - 12/2017</t>
  </si>
  <si>
    <t>11/2017 - 1/2018</t>
  </si>
  <si>
    <t>12/2017 - 2/2018</t>
  </si>
  <si>
    <t>1/2018 - 3/2018</t>
  </si>
  <si>
    <t>2/2018 - 4/2018</t>
  </si>
  <si>
    <t>3/2018 - 5/2018</t>
  </si>
  <si>
    <t>4/2018 - 6/2018</t>
  </si>
  <si>
    <t>5/2018 - 7/2018</t>
  </si>
  <si>
    <t>6/2018 - 8/2018</t>
  </si>
  <si>
    <t>7/2018 - 9/2018</t>
  </si>
  <si>
    <t>8/2018 - 10/2018</t>
  </si>
  <si>
    <t>9/2018 - 11/2018</t>
  </si>
  <si>
    <t>10/2018 - 12/2018</t>
  </si>
  <si>
    <t>Notes :</t>
  </si>
  <si>
    <t>Starting from 2001, annual figures are compiled based on data collected in the General Household Survey from January to December of the year concerned as well as the mid-year population estimates.</t>
  </si>
  <si>
    <t/>
  </si>
  <si>
    <t>Owner-occupiers refer to the domestic households which own the quarters they occupy.</t>
  </si>
  <si>
    <t>Public sector housing includes public rental flats and interim housing flats provided by Housing Authority (HA); and public rental flats and Senior Citizen Residences Scheme flats provided by the Housing Society (HS); subsidized sale flats provided by HA under the Home Ownership Scheme (HOS), Private Sector Participation Scheme (PSPS), Tenants Purchase Scheme (TPS), Buy or Rent Option Scheme (BRO), Green Form Subsidised Home Owership Pilot Scheme (GSH), Mortgage Subsidy Scheme (MSS) and Middle Income Housing Scheme (MIH); and flats provided by HS under the Flat-For-Sale Scheme (FFSS), Sandwich Class Housing Scheme (SCHS) and Subsidised Sale Flats Scheme (SSFS); and flats in Urban Renewal Authority Subsidised Sale Flats Scheme; and Public Temporary housing. As from Q1 2002, subsidized sale flats that can be traded in open market are excluded.</t>
  </si>
  <si>
    <t>Private sector housing includes private housing blocks, flats built under the Urban Improvement Scheme of the Hong Kong Housing Society, villas/bungalows/modern village houses, simple stone structures, quarters in non-residential buildings and private temporary housing. As from Q1 2002, subsidized sale flats that can be traded in open market are also put under this category.</t>
  </si>
  <si>
    <t>Not available.</t>
  </si>
  <si>
    <t>Source :</t>
  </si>
  <si>
    <t>Household Statistics Analysis Section,
Census and Statistics Department
(Enquiry telephone no. : 2887 5508
 Enquiry e-mail : ghs@censtatd.gov.hk)</t>
  </si>
  <si>
    <t>Last revision date: 21 February, 2019</t>
  </si>
  <si>
    <r>
      <rPr>
        <b/>
        <sz val="14"/>
        <color indexed="8"/>
        <rFont val="新細明體"/>
        <family val="1"/>
        <charset val="136"/>
      </rPr>
      <t>表</t>
    </r>
    <r>
      <rPr>
        <b/>
        <sz val="14"/>
        <color indexed="8"/>
        <rFont val="Times New Roman"/>
        <family val="1"/>
      </rPr>
      <t xml:space="preserve"> 1</t>
    </r>
    <phoneticPr fontId="21" type="noConversion"/>
  </si>
  <si>
    <r>
      <rPr>
        <b/>
        <sz val="14"/>
        <color indexed="8"/>
        <rFont val="新細明體"/>
        <family val="1"/>
        <charset val="136"/>
      </rPr>
      <t>家庭住戶數目及平均住戶人數</t>
    </r>
  </si>
  <si>
    <t>Table 1</t>
    <phoneticPr fontId="21" type="noConversion"/>
  </si>
  <si>
    <t>Number of domestic households and average household size</t>
    <phoneticPr fontId="21" type="noConversion"/>
  </si>
  <si>
    <r>
      <rPr>
        <sz val="11"/>
        <color indexed="8"/>
        <rFont val="新細明體"/>
        <family val="1"/>
        <charset val="136"/>
      </rPr>
      <t>年份</t>
    </r>
  </si>
  <si>
    <r>
      <rPr>
        <sz val="11"/>
        <color indexed="8"/>
        <rFont val="新細明體"/>
        <family val="1"/>
        <charset val="136"/>
      </rPr>
      <t>家庭住戶數目</t>
    </r>
  </si>
  <si>
    <r>
      <rPr>
        <sz val="11"/>
        <color indexed="8"/>
        <rFont val="新細明體"/>
        <family val="1"/>
        <charset val="136"/>
      </rPr>
      <t>前五年內平均每年增幅</t>
    </r>
  </si>
  <si>
    <r>
      <rPr>
        <sz val="11"/>
        <color indexed="8"/>
        <rFont val="新細明體"/>
        <family val="1"/>
        <charset val="136"/>
      </rPr>
      <t>平均住戶人數</t>
    </r>
  </si>
  <si>
    <t>Year</t>
  </si>
  <si>
    <t>Number of domestic households</t>
  </si>
  <si>
    <t>Average annual growth over the past 5 years</t>
    <phoneticPr fontId="21" type="noConversion"/>
  </si>
  <si>
    <t>Average household size</t>
  </si>
  <si>
    <t>-</t>
  </si>
  <si>
    <t>註釋：</t>
    <phoneticPr fontId="21" type="noConversion"/>
  </si>
  <si>
    <t>虛線以下的數字是推算數字。</t>
    <phoneticPr fontId="21" type="noConversion"/>
  </si>
  <si>
    <t>推算結果反映若過往有關生育、死亡、人口遷移及戶主率的人口趨勢仍延續，未來的整體趨勢情況。要注意的是由於未來可能會發生現階段不能預見及預測的情況，因此，有關未來趨勢的假設亦受制於這些不確定因素的發展。</t>
    <phoneticPr fontId="21" type="noConversion"/>
  </si>
  <si>
    <t>Notes :</t>
    <phoneticPr fontId="21" type="noConversion"/>
  </si>
  <si>
    <t>Figures below the broken lines are based on projections.</t>
    <phoneticPr fontId="21" type="noConversion"/>
  </si>
  <si>
    <t>The projection results aim at illustrating what would happen if the past demographic trends on fertility, mortality, movement and headship rates continue into the future.  It should however be noted that the assumptions of future trends are subject to uncertainties arising from unforeseeable and unpredictable future events.</t>
    <phoneticPr fontId="21" type="noConversion"/>
  </si>
  <si>
    <t>Residential Energy Use by Fuel</t>
    <phoneticPr fontId="3" type="noConversion"/>
  </si>
  <si>
    <t xml:space="preserve">Source: </t>
    <phoneticPr fontId="3" type="noConversion"/>
  </si>
  <si>
    <t>EMSD End-use Data report 2023</t>
  </si>
  <si>
    <t>住宅 Residential</t>
    <phoneticPr fontId="3" type="noConversion"/>
  </si>
  <si>
    <r>
      <rPr>
        <sz val="8"/>
        <rFont val="Noto Sans CJK JP Regular"/>
        <family val="2"/>
      </rPr>
      <t xml:space="preserve">年份
</t>
    </r>
    <r>
      <rPr>
        <sz val="8"/>
        <rFont val="Arial"/>
        <family val="2"/>
      </rPr>
      <t>Year</t>
    </r>
  </si>
  <si>
    <r>
      <rPr>
        <sz val="8"/>
        <rFont val="Noto Sans CJK JP Regular"/>
        <family val="2"/>
      </rPr>
      <t>煤氣及石油氣</t>
    </r>
    <r>
      <rPr>
        <sz val="8"/>
        <rFont val="Arial"/>
        <family val="2"/>
      </rPr>
      <t xml:space="preserve">*
</t>
    </r>
    <r>
      <rPr>
        <sz val="6"/>
        <rFont val="Arial"/>
        <family val="2"/>
      </rPr>
      <t xml:space="preserve">Town Gas &amp;
</t>
    </r>
    <r>
      <rPr>
        <sz val="6"/>
        <rFont val="Arial"/>
        <family val="2"/>
      </rPr>
      <t>Liquefied Petroleum Gas*</t>
    </r>
  </si>
  <si>
    <r>
      <rPr>
        <sz val="8"/>
        <rFont val="Noto Sans CJK JP Regular"/>
        <family val="2"/>
      </rPr>
      <t xml:space="preserve">油及煤產品
</t>
    </r>
    <r>
      <rPr>
        <sz val="8"/>
        <rFont val="Arial"/>
        <family val="2"/>
      </rPr>
      <t xml:space="preserve">Oil &amp; Coal
</t>
    </r>
    <r>
      <rPr>
        <sz val="8"/>
        <rFont val="Arial"/>
        <family val="2"/>
      </rPr>
      <t>Products</t>
    </r>
  </si>
  <si>
    <r>
      <rPr>
        <sz val="8"/>
        <rFont val="Noto Sans CJK JP Regular"/>
        <family val="2"/>
      </rPr>
      <t xml:space="preserve">電力
</t>
    </r>
    <r>
      <rPr>
        <sz val="8"/>
        <rFont val="Arial"/>
        <family val="2"/>
      </rPr>
      <t>Electricity</t>
    </r>
  </si>
  <si>
    <r>
      <rPr>
        <sz val="8"/>
        <rFont val="Noto Sans CJK JP Regular"/>
        <family val="2"/>
      </rPr>
      <t xml:space="preserve">總計
</t>
    </r>
    <r>
      <rPr>
        <sz val="8"/>
        <rFont val="Arial"/>
        <family val="2"/>
      </rPr>
      <t>Total</t>
    </r>
  </si>
  <si>
    <t>Commercial Energy Use by Fuel</t>
    <phoneticPr fontId="3" type="noConversion"/>
  </si>
  <si>
    <t>EMSD End-use Data report 2022#</t>
  </si>
  <si>
    <t>商业 Commercial</t>
    <phoneticPr fontId="3" type="noConversion"/>
  </si>
  <si>
    <t xml:space="preserve">Residential Sector Energy Consumption by End-use       </t>
    <phoneticPr fontId="3" type="noConversion"/>
  </si>
  <si>
    <t>EMSD End-use Data report</t>
    <phoneticPr fontId="3" type="noConversion"/>
  </si>
  <si>
    <t>Chapter : By Sectors&amp;Segments</t>
    <phoneticPr fontId="3" type="noConversion"/>
  </si>
  <si>
    <t>Data from END-use data report 2023</t>
  </si>
  <si>
    <t>Data from END-use data report 2013-2018</t>
    <phoneticPr fontId="3" type="noConversion"/>
  </si>
  <si>
    <t>Energy</t>
    <phoneticPr fontId="3" type="noConversion"/>
  </si>
  <si>
    <t>Air Conditioning</t>
    <phoneticPr fontId="3" type="noConversion"/>
  </si>
  <si>
    <t>Hot Water</t>
    <phoneticPr fontId="3" type="noConversion"/>
  </si>
  <si>
    <t>Lighting</t>
    <phoneticPr fontId="3" type="noConversion"/>
  </si>
  <si>
    <t>Refrigeration</t>
    <phoneticPr fontId="3" type="noConversion"/>
  </si>
  <si>
    <t>Office Equipment</t>
    <phoneticPr fontId="3" type="noConversion"/>
  </si>
  <si>
    <t>Cooking</t>
    <phoneticPr fontId="3" type="noConversion"/>
  </si>
  <si>
    <t>Others</t>
    <phoneticPr fontId="3" type="noConversion"/>
  </si>
  <si>
    <t>Sum</t>
    <phoneticPr fontId="3" type="noConversion"/>
  </si>
  <si>
    <t>空气调节</t>
    <phoneticPr fontId="3" type="noConversion"/>
  </si>
  <si>
    <t>热水</t>
    <phoneticPr fontId="3" type="noConversion"/>
  </si>
  <si>
    <t>照明</t>
    <phoneticPr fontId="3" type="noConversion"/>
  </si>
  <si>
    <t xml:space="preserve">The Categories are different in End-use Datas which reporting the end-use data </t>
    <phoneticPr fontId="3" type="noConversion"/>
  </si>
  <si>
    <t>冷冻</t>
    <phoneticPr fontId="3" type="noConversion"/>
  </si>
  <si>
    <t>between 2007 and 2010</t>
  </si>
  <si>
    <t>办公设备</t>
    <phoneticPr fontId="3" type="noConversion"/>
  </si>
  <si>
    <t>煮食</t>
    <phoneticPr fontId="3" type="noConversion"/>
  </si>
  <si>
    <t>其他</t>
    <phoneticPr fontId="3" type="noConversion"/>
  </si>
  <si>
    <t>Electricity</t>
    <phoneticPr fontId="3" type="noConversion"/>
  </si>
  <si>
    <t>No data about electricity demand decomposition between 2007-2011</t>
    <phoneticPr fontId="3" type="noConversion"/>
  </si>
  <si>
    <t>Calculating the decomposition of energy other than electricity</t>
    <phoneticPr fontId="3" type="noConversion"/>
  </si>
  <si>
    <t>可以解方程解出除电力外(另外两种能源平均）的能源使用占比</t>
    <phoneticPr fontId="3" type="noConversion"/>
  </si>
  <si>
    <t>Equation: for a certain category(e.g. air conditioning), assuming the fraction of energy consumption, other than electricity consumption, of this category, is x</t>
    <phoneticPr fontId="3" type="noConversion"/>
  </si>
  <si>
    <t>x*能源用量+35%*电力用量=25%*总能源用量</t>
    <phoneticPr fontId="3" type="noConversion"/>
  </si>
  <si>
    <t xml:space="preserve">Then, the total consumption in 2005 in the residential sector in air-conditioning category is </t>
    <phoneticPr fontId="3" type="noConversion"/>
  </si>
  <si>
    <t>23%*Total energy consumption in redidential sector=35%*electricity consumption+x*other energy consumption</t>
    <phoneticPr fontId="3" type="noConversion"/>
  </si>
  <si>
    <t>Therefore,  x=(23%*Total energy consumption in redidential sector-35%*electricity consumption)/(other energy consumption)</t>
    <phoneticPr fontId="3" type="noConversion"/>
  </si>
  <si>
    <t>Calculating Results:</t>
    <phoneticPr fontId="3" type="noConversion"/>
  </si>
  <si>
    <t>Energy Except Electricity (Town gas, oil&amp;coal)</t>
    <phoneticPr fontId="3" type="noConversion"/>
  </si>
  <si>
    <t>Energy Except Electricity (Town gas, oil&amp;coal)</t>
  </si>
  <si>
    <t xml:space="preserve">1.Replace negative </t>
    <phoneticPr fontId="3" type="noConversion"/>
  </si>
  <si>
    <t>Air Conditioning</t>
  </si>
  <si>
    <t>Hot Water</t>
  </si>
  <si>
    <t>Lighting</t>
  </si>
  <si>
    <t>Refrigeration</t>
  </si>
  <si>
    <t>Office Equipment</t>
  </si>
  <si>
    <t>Cooking</t>
  </si>
  <si>
    <t>Others</t>
  </si>
  <si>
    <t>Sum</t>
  </si>
  <si>
    <t>value with 0；</t>
    <phoneticPr fontId="3" type="noConversion"/>
  </si>
  <si>
    <t>2.Adjust "Cooking" to make</t>
    <phoneticPr fontId="3" type="noConversion"/>
  </si>
  <si>
    <t>sum=100%</t>
    <phoneticPr fontId="3" type="noConversion"/>
  </si>
  <si>
    <t>All Energy/Electricity Consumption by Sector</t>
    <phoneticPr fontId="3" type="noConversion"/>
  </si>
  <si>
    <t>EMSD End-use Data report 2018</t>
    <phoneticPr fontId="3" type="noConversion"/>
  </si>
  <si>
    <t>P23</t>
    <phoneticPr fontId="3" type="noConversion"/>
  </si>
  <si>
    <t>终端能源使用All Energy Consumption By Sectors</t>
    <phoneticPr fontId="3" type="noConversion"/>
  </si>
  <si>
    <t>Unit:Terajoule</t>
    <phoneticPr fontId="3" type="noConversion"/>
  </si>
  <si>
    <t>Sectors Energy Consumption Percentage</t>
    <phoneticPr fontId="3" type="noConversion"/>
  </si>
  <si>
    <t>Year</t>
    <phoneticPr fontId="3" type="noConversion"/>
  </si>
  <si>
    <t>工业 Industrial</t>
    <phoneticPr fontId="3" type="noConversion"/>
  </si>
  <si>
    <t>运输 Transport</t>
    <phoneticPr fontId="3" type="noConversion"/>
  </si>
  <si>
    <t>总计 Total</t>
    <phoneticPr fontId="3" type="noConversion"/>
  </si>
  <si>
    <t>电力使用 Electricity Consuption By Sectors</t>
    <phoneticPr fontId="3" type="noConversion"/>
  </si>
  <si>
    <t>Sectors Electricity Consumption Percentage</t>
    <phoneticPr fontId="3" type="noConversion"/>
  </si>
  <si>
    <t>Check</t>
    <phoneticPr fontId="3" type="noConversion"/>
  </si>
  <si>
    <t xml:space="preserve">Private/Public Residential Energy Consumption by End-use       </t>
    <phoneticPr fontId="3" type="noConversion"/>
  </si>
  <si>
    <t>所有住宅All Residential</t>
    <phoneticPr fontId="3" type="noConversion"/>
  </si>
  <si>
    <t>私人住宅Private Housing Segment</t>
    <phoneticPr fontId="3" type="noConversion"/>
  </si>
  <si>
    <t>公共住宅 Public Housing</t>
    <phoneticPr fontId="3" type="noConversion"/>
  </si>
  <si>
    <t>重新加总Private+Public</t>
    <phoneticPr fontId="3" type="noConversion"/>
  </si>
  <si>
    <t>(缺少原始数据 No raw data)</t>
    <phoneticPr fontId="3" type="noConversion"/>
  </si>
  <si>
    <t>總計
Total</t>
  </si>
  <si>
    <r>
      <rPr>
        <sz val="6.5"/>
        <rFont val="Noto Sans CJK JP Regular"/>
        <family val="2"/>
      </rPr>
      <t xml:space="preserve">煮食
</t>
    </r>
    <r>
      <rPr>
        <sz val="6.5"/>
        <rFont val="Arial"/>
        <family val="2"/>
      </rPr>
      <t>Cooking</t>
    </r>
  </si>
  <si>
    <r>
      <rPr>
        <sz val="6.5"/>
        <rFont val="Noto Sans CJK JP Regular"/>
        <family val="2"/>
      </rPr>
      <t xml:space="preserve">空氣調節
</t>
    </r>
    <r>
      <rPr>
        <sz val="5.5"/>
        <rFont val="Arial"/>
        <family val="2"/>
      </rPr>
      <t xml:space="preserve">Air
</t>
    </r>
    <r>
      <rPr>
        <sz val="5.5"/>
        <rFont val="Arial"/>
        <family val="2"/>
      </rPr>
      <t>Conditioning</t>
    </r>
  </si>
  <si>
    <r>
      <rPr>
        <sz val="6.5"/>
        <rFont val="Noto Sans CJK JP Regular"/>
        <family val="2"/>
      </rPr>
      <t xml:space="preserve">熱水
</t>
    </r>
    <r>
      <rPr>
        <sz val="6.5"/>
        <rFont val="Arial"/>
        <family val="2"/>
      </rPr>
      <t xml:space="preserve">Hot
</t>
    </r>
    <r>
      <rPr>
        <sz val="6.5"/>
        <rFont val="Arial"/>
        <family val="2"/>
      </rPr>
      <t>Water</t>
    </r>
  </si>
  <si>
    <r>
      <rPr>
        <sz val="6.5"/>
        <rFont val="Noto Sans CJK JP Regular"/>
        <family val="2"/>
      </rPr>
      <t xml:space="preserve">照明
</t>
    </r>
    <r>
      <rPr>
        <sz val="6.5"/>
        <rFont val="Arial"/>
        <family val="2"/>
      </rPr>
      <t>Lighting</t>
    </r>
  </si>
  <si>
    <r>
      <rPr>
        <sz val="6.5"/>
        <rFont val="Noto Sans CJK JP Regular"/>
        <family val="2"/>
      </rPr>
      <t xml:space="preserve">冷凍
</t>
    </r>
    <r>
      <rPr>
        <sz val="6"/>
        <rFont val="Arial"/>
        <family val="2"/>
      </rPr>
      <t>Refrigeration</t>
    </r>
  </si>
  <si>
    <r>
      <rPr>
        <sz val="6.5"/>
        <rFont val="Noto Sans CJK JP Regular"/>
        <family val="2"/>
      </rPr>
      <t xml:space="preserve">辦公室設備
</t>
    </r>
    <r>
      <rPr>
        <sz val="5.5"/>
        <rFont val="Arial"/>
        <family val="2"/>
      </rPr>
      <t xml:space="preserve">Office
</t>
    </r>
    <r>
      <rPr>
        <sz val="5.5"/>
        <rFont val="Arial"/>
        <family val="2"/>
      </rPr>
      <t>Equipment</t>
    </r>
  </si>
  <si>
    <r>
      <rPr>
        <sz val="6.5"/>
        <rFont val="Noto Sans CJK JP Regular"/>
        <family val="2"/>
      </rPr>
      <t xml:space="preserve">其他 </t>
    </r>
    <r>
      <rPr>
        <vertAlign val="superscript"/>
        <sz val="6.5"/>
        <rFont val="Arial"/>
        <family val="2"/>
      </rPr>
      <t xml:space="preserve">1
</t>
    </r>
    <r>
      <rPr>
        <sz val="6.5"/>
        <rFont val="Arial"/>
        <family val="2"/>
      </rPr>
      <t xml:space="preserve">Others </t>
    </r>
    <r>
      <rPr>
        <vertAlign val="superscript"/>
        <sz val="6.5"/>
        <rFont val="Arial"/>
        <family val="2"/>
      </rPr>
      <t>1</t>
    </r>
  </si>
  <si>
    <t>转换为百分比Change to percentage</t>
    <phoneticPr fontId="3" type="noConversion"/>
  </si>
  <si>
    <t>Non-Electricity Energy</t>
    <phoneticPr fontId="3" type="noConversion"/>
  </si>
  <si>
    <t>Solve first-order equation by using data above(total energy, electricity)</t>
    <phoneticPr fontId="3" type="noConversion"/>
  </si>
  <si>
    <t>Method: for a certain category(e.g. air conditioning), assuming the fraction of non-elec energy consumption of this category, is x</t>
    <phoneticPr fontId="3" type="noConversion"/>
  </si>
  <si>
    <t xml:space="preserve">Because the total energy consumption in the air-conditioning category in 2005 can be expressed in two ways in the following equation, we can solve the value of X: </t>
    <phoneticPr fontId="3" type="noConversion"/>
  </si>
  <si>
    <t>23%*Total energy consumption of private/public house=34%*electricity consumption of private/public house+x*non-elec energy consumption of private/public house</t>
    <phoneticPr fontId="3" type="noConversion"/>
  </si>
  <si>
    <t>So x=((23%*Total energy consumption of private/public house)-(4%*electricity consumption of private/public house))/(Total Energy-Total Electricity)</t>
    <phoneticPr fontId="3" type="noConversion"/>
  </si>
  <si>
    <t>Raw data for public house:</t>
    <phoneticPr fontId="3" type="noConversion"/>
  </si>
  <si>
    <t>住宅組別所有能源使用按最終用途劃分</t>
  </si>
  <si>
    <t xml:space="preserve">All Energy Consumption By End-uses In Residential Segments </t>
    <phoneticPr fontId="3" type="noConversion"/>
  </si>
  <si>
    <t>Units: TJ</t>
    <phoneticPr fontId="3" type="noConversion"/>
  </si>
  <si>
    <t>公共房屋组别 Public Housing Segment</t>
    <phoneticPr fontId="3" type="noConversion"/>
  </si>
  <si>
    <t>房委会资助出售单位组别 Housing Authority Subsidized Sale Flats Segment</t>
    <phoneticPr fontId="3" type="noConversion"/>
  </si>
  <si>
    <t xml:space="preserve">Commercial Sector Energy Consumption by End-use       </t>
    <phoneticPr fontId="3" type="noConversion"/>
  </si>
  <si>
    <t>EMSD End Use 2023</t>
  </si>
  <si>
    <t xml:space="preserve">NOTE --&gt; from 2017 - 2021, referred to the corresponding ESMD End use report since there was no singular graph that showed total energy/ electiricty consumption by commercial end use with multiple years :. Had to refer to many previous iterations </t>
  </si>
  <si>
    <t>Hot Water &amp; Refrigeration</t>
    <phoneticPr fontId="3" type="noConversion"/>
  </si>
  <si>
    <t xml:space="preserve">NOTE --&gt; Others include vertical transport </t>
  </si>
  <si>
    <t>热水及冷冻</t>
    <phoneticPr fontId="3" type="noConversion"/>
  </si>
  <si>
    <t xml:space="preserve"> Taken from EMSD Total Energy Consumption by End-Use</t>
  </si>
  <si>
    <t xml:space="preserve">Then, the total consumption in 2005 in the commercial sector in air-conditioning category is </t>
    <phoneticPr fontId="3" type="noConversion"/>
  </si>
  <si>
    <t>23%*Total energy consumption in commercial sector=35%*electricity consumption+x*other energy consumption</t>
    <phoneticPr fontId="3" type="noConversion"/>
  </si>
  <si>
    <t>Therefore,  x=(23%*Total energy consumption in commercial sector-35%*electricity consumption)/(other energy consumption)</t>
    <phoneticPr fontId="3" type="noConversion"/>
  </si>
  <si>
    <t>Hot Water &amp; Refrigeration</t>
  </si>
  <si>
    <t>No data</t>
    <phoneticPr fontId="3" type="noConversion"/>
  </si>
  <si>
    <t>2.Adjust "other" to make</t>
    <phoneticPr fontId="3" type="noConversion"/>
  </si>
  <si>
    <t>Main Finding from the above data</t>
    <phoneticPr fontId="3" type="noConversion"/>
  </si>
  <si>
    <t>1.There exist differences in the composition of different end-use among different energy types</t>
    <phoneticPr fontId="3" type="noConversion"/>
  </si>
  <si>
    <t>2.The demand composition of different end-use of a certain type of energy is almost stable throughout tht years</t>
    <phoneticPr fontId="3" type="noConversion"/>
  </si>
  <si>
    <t>Median Per Capita Floor Area of Accommodation by Area of Residence, Household Size, Year and Type of Housing</t>
  </si>
  <si>
    <t>source:Population By-census, 2016</t>
    <phoneticPr fontId="3" type="noConversion"/>
  </si>
  <si>
    <r>
      <t>Median Per Capita Floor Area of Accommodation</t>
    </r>
    <r>
      <rPr>
        <b/>
        <vertAlign val="superscript"/>
        <sz val="12"/>
        <color rgb="FF000000"/>
        <rFont val="Arial"/>
        <family val="2"/>
      </rPr>
      <t>(1)</t>
    </r>
  </si>
  <si>
    <t>Square Metres</t>
  </si>
  <si>
    <t>2016</t>
  </si>
  <si>
    <t>Type of Housing</t>
  </si>
  <si>
    <t>Public rental housing</t>
  </si>
  <si>
    <t>Subsidised home ownership housing</t>
  </si>
  <si>
    <t>Private permanent housing</t>
  </si>
  <si>
    <t>Overall</t>
  </si>
  <si>
    <t>Area of Residence</t>
  </si>
  <si>
    <t>Household Size</t>
  </si>
  <si>
    <t>Central and Western</t>
  </si>
  <si>
    <t>1</t>
  </si>
  <si>
    <t>2</t>
  </si>
  <si>
    <t>3</t>
  </si>
  <si>
    <t>4</t>
  </si>
  <si>
    <t>5</t>
  </si>
  <si>
    <t>6 and over</t>
  </si>
  <si>
    <t>Sub-Total</t>
  </si>
  <si>
    <t>Wan Chai</t>
  </si>
  <si>
    <t>Eastern</t>
  </si>
  <si>
    <t>Southern</t>
  </si>
  <si>
    <t>Yau Tsim Mong</t>
  </si>
  <si>
    <t>Sham Shui Po</t>
  </si>
  <si>
    <t>Kowloon City</t>
  </si>
  <si>
    <t>Wong Tai Sin</t>
  </si>
  <si>
    <t>Kwun Tong</t>
  </si>
  <si>
    <t>Sai Kung (Tseung Kwan O)</t>
  </si>
  <si>
    <t>Tsuen Wan (New town)</t>
  </si>
  <si>
    <t>Tuen Mun (New town)</t>
  </si>
  <si>
    <t>Yuen Long (New town)</t>
  </si>
  <si>
    <t>Yuen Long (Tin Shui Wai)</t>
  </si>
  <si>
    <t>North (Fanling/ Sheung Shui)</t>
  </si>
  <si>
    <t>Tai Po (New town)</t>
  </si>
  <si>
    <t>Sha Tin (New town)</t>
  </si>
  <si>
    <t>Sha Tin (Ma On Shan)</t>
  </si>
  <si>
    <t>Kwai Tsing (Kwai Chung)</t>
  </si>
  <si>
    <t>Kwai Tsing (Tsing Yi)</t>
  </si>
  <si>
    <t>Islands (North Lantau)</t>
  </si>
  <si>
    <t>Other Areas in the New Territories</t>
  </si>
  <si>
    <t>Land</t>
  </si>
  <si>
    <t>Note(s) :</t>
  </si>
  <si>
    <t>(1)</t>
  </si>
  <si>
    <t>Figures exclude domestic households living in unsheltered accommodation or on board vessels. Floor area of common area shared among households is excluded.</t>
  </si>
  <si>
    <t>- denotes nil</t>
  </si>
  <si>
    <t>2016 Population By-census Office</t>
  </si>
  <si>
    <t>Census and Statistics Department</t>
  </si>
  <si>
    <t>The Government of the Hong Kong Special Administrative Region</t>
  </si>
  <si>
    <t>Telephone: 3547 1800</t>
  </si>
  <si>
    <t>Email: bycensus2016@censtatd.gov.hk</t>
  </si>
  <si>
    <t>Release date :</t>
  </si>
  <si>
    <t>30 November 2017</t>
  </si>
  <si>
    <t>Data Summary</t>
    <phoneticPr fontId="3" type="noConversion"/>
  </si>
  <si>
    <t>About the backgroud color:</t>
    <phoneticPr fontId="3" type="noConversion"/>
  </si>
  <si>
    <t>History data</t>
    <phoneticPr fontId="3" type="noConversion"/>
  </si>
  <si>
    <t>Prejection from reports</t>
    <phoneticPr fontId="3" type="noConversion"/>
  </si>
  <si>
    <t>Note (about data in this sheet):</t>
    <phoneticPr fontId="3" type="noConversion"/>
  </si>
  <si>
    <t xml:space="preserve">The Population&amp;GDP data is from another prediction datafile "HK population and GDP_190227_v3.xlsx"; </t>
    <phoneticPr fontId="3" type="noConversion"/>
  </si>
  <si>
    <t>Domestic Household and Average no. of people per household data are from the below "HK 2030 Baseline Review.pdf"(source of this report can be fund on the "About" sheet;</t>
    <phoneticPr fontId="3" type="noConversion"/>
  </si>
  <si>
    <t>Residential and Commercial Building Area data are from the below "HK 2030 Final Report.pdf"(source of this report can also be fund on the "About" sheet).</t>
    <phoneticPr fontId="3" type="noConversion"/>
  </si>
  <si>
    <t>X (independent variables in regression)</t>
    <phoneticPr fontId="3" type="noConversion"/>
  </si>
  <si>
    <t>Unit</t>
    <phoneticPr fontId="3" type="noConversion"/>
  </si>
  <si>
    <t xml:space="preserve">Population(HK Gov Census) </t>
    <phoneticPr fontId="3" type="noConversion"/>
  </si>
  <si>
    <t>×10^3 people</t>
    <phoneticPr fontId="3" type="noConversion"/>
  </si>
  <si>
    <t>GDP(2018 onward: from extrapolation)</t>
    <phoneticPr fontId="3" type="noConversion"/>
  </si>
  <si>
    <t>bil.USD2012</t>
    <phoneticPr fontId="3" type="noConversion"/>
  </si>
  <si>
    <t>GDP per capita</t>
    <phoneticPr fontId="3" type="noConversion"/>
  </si>
  <si>
    <t>kUSD2012</t>
    <phoneticPr fontId="3" type="noConversion"/>
  </si>
  <si>
    <t>No. of Domestic Household (2030 Baseline Pred)</t>
    <phoneticPr fontId="3" type="noConversion"/>
  </si>
  <si>
    <t>Million</t>
    <phoneticPr fontId="3" type="noConversion"/>
  </si>
  <si>
    <t>No. of Domestic Household (HK C&amp;SD Pred)</t>
    <phoneticPr fontId="3" type="noConversion"/>
  </si>
  <si>
    <t xml:space="preserve">    Note: Fitting Curve for Domestic Household</t>
    <phoneticPr fontId="3" type="noConversion"/>
  </si>
  <si>
    <t>Y=-0.00040693*X2+1.6681351*X-1706.5786</t>
    <phoneticPr fontId="3" type="noConversion"/>
  </si>
  <si>
    <t>For more information about the fitting, see sheet"FittingHH"</t>
    <phoneticPr fontId="3" type="noConversion"/>
  </si>
  <si>
    <t>Average no. of people per household, by my estimation</t>
    <phoneticPr fontId="3" type="noConversion"/>
  </si>
  <si>
    <t>-</t>
    <phoneticPr fontId="3" type="noConversion"/>
  </si>
  <si>
    <t>Average no. of people per household, by division1</t>
    <phoneticPr fontId="3" type="noConversion"/>
  </si>
  <si>
    <t>Average no. of people per household, by division2</t>
    <phoneticPr fontId="3" type="noConversion"/>
  </si>
  <si>
    <t>Residential Building Area 1</t>
    <phoneticPr fontId="3" type="noConversion"/>
  </si>
  <si>
    <t xml:space="preserve">Mil m2 </t>
    <phoneticPr fontId="3" type="noConversion"/>
  </si>
  <si>
    <t>Residential Building Area 2</t>
    <phoneticPr fontId="3" type="noConversion"/>
  </si>
  <si>
    <t>Commercial Building Area</t>
    <phoneticPr fontId="3" type="noConversion"/>
  </si>
  <si>
    <t>Mil m2 in GFA</t>
    <phoneticPr fontId="3" type="noConversion"/>
  </si>
  <si>
    <t>Y (dependent variables in regression)</t>
    <phoneticPr fontId="3" type="noConversion"/>
  </si>
  <si>
    <t>Residential Energy Consumption</t>
    <phoneticPr fontId="3" type="noConversion"/>
  </si>
  <si>
    <t>TJ</t>
    <phoneticPr fontId="3" type="noConversion"/>
  </si>
  <si>
    <t>Commercial Energy Consumption</t>
    <phoneticPr fontId="3" type="noConversion"/>
  </si>
  <si>
    <t>Raw data for data used in this sheet are shown below:</t>
    <phoneticPr fontId="3" type="noConversion"/>
  </si>
  <si>
    <t>Domestic Household Projection</t>
    <phoneticPr fontId="3" type="noConversion"/>
  </si>
  <si>
    <t>Household number(Million)</t>
    <phoneticPr fontId="3" type="noConversion"/>
  </si>
  <si>
    <t>Percentages of Domestiv Households by Size</t>
    <phoneticPr fontId="3" type="noConversion"/>
  </si>
  <si>
    <t>Suppose the average no. of people in household 5+ is 7</t>
    <phoneticPr fontId="3" type="noConversion"/>
  </si>
  <si>
    <t>5+</t>
    <phoneticPr fontId="3" type="noConversion"/>
  </si>
  <si>
    <t>Average</t>
    <phoneticPr fontId="3" type="noConversion"/>
  </si>
  <si>
    <t>trend:</t>
    <phoneticPr fontId="3" type="noConversion"/>
  </si>
  <si>
    <t>Employment use floorspace</t>
    <phoneticPr fontId="3" type="noConversion"/>
  </si>
  <si>
    <t>year</t>
    <phoneticPr fontId="3" type="noConversion"/>
  </si>
  <si>
    <t>mil. m2 in GFA</t>
    <phoneticPr fontId="3" type="noConversion"/>
  </si>
  <si>
    <t>trend</t>
    <phoneticPr fontId="3" type="noConversion"/>
  </si>
  <si>
    <t>area</t>
    <phoneticPr fontId="3" type="noConversion"/>
  </si>
  <si>
    <t>HONG KONG</t>
    <phoneticPr fontId="3" type="noConversion"/>
  </si>
  <si>
    <t>m2</t>
    <phoneticPr fontId="3" type="noConversion"/>
  </si>
  <si>
    <t>Average floor area per dwelling</t>
    <phoneticPr fontId="3" type="noConversion"/>
  </si>
  <si>
    <t>Average floor area per person</t>
    <phoneticPr fontId="3" type="noConversion"/>
  </si>
  <si>
    <t>Also,from Sheet"Floor Area Per"</t>
    <phoneticPr fontId="3" type="noConversion"/>
  </si>
  <si>
    <t>Buildings &amp; Industrial</t>
  </si>
  <si>
    <t>Updated:</t>
  </si>
  <si>
    <t>Scenario:</t>
  </si>
  <si>
    <t>Color code</t>
  </si>
  <si>
    <t>Fixed data Input</t>
  </si>
  <si>
    <t>Parameter input</t>
  </si>
  <si>
    <t>Parameter rpt item</t>
  </si>
  <si>
    <t>Clear: calculated</t>
  </si>
  <si>
    <t>Page 1 or 2</t>
  </si>
  <si>
    <t>Data Input</t>
  </si>
  <si>
    <t>Clear = calculated.</t>
  </si>
  <si>
    <t>Page 2 of 2</t>
  </si>
  <si>
    <t>Buildings
Input</t>
  </si>
  <si>
    <t>Share of population in 2050</t>
  </si>
  <si>
    <r>
      <t xml:space="preserve">Floor area per capita in 2050 m2  </t>
    </r>
    <r>
      <rPr>
        <sz val="11"/>
        <color rgb="FFFF0000"/>
        <rFont val="Calibri"/>
        <family val="2"/>
        <scheme val="minor"/>
      </rPr>
      <t>^1</t>
    </r>
  </si>
  <si>
    <r>
      <t xml:space="preserve">Energy efficiency improvement --electricity (%) </t>
    </r>
    <r>
      <rPr>
        <sz val="11"/>
        <color rgb="FFFF0000"/>
        <rFont val="Calibri"/>
        <family val="2"/>
        <scheme val="minor"/>
      </rPr>
      <t>^2</t>
    </r>
  </si>
  <si>
    <t>Energy efficiency improvement -- gas (%)</t>
  </si>
  <si>
    <t>Electrification rate (share of cooking, hot water &amp; Ref)</t>
  </si>
  <si>
    <t>Summary of results</t>
  </si>
  <si>
    <t>Industrial equipment</t>
  </si>
  <si>
    <t xml:space="preserve">Cooking </t>
  </si>
  <si>
    <t xml:space="preserve">A.C. </t>
  </si>
  <si>
    <t>District cooling</t>
  </si>
  <si>
    <t xml:space="preserve">Hot Water &amp; Refrigeration </t>
  </si>
  <si>
    <t xml:space="preserve">Lighting </t>
  </si>
  <si>
    <t xml:space="preserve">Office Equipment </t>
  </si>
  <si>
    <t xml:space="preserve">Others </t>
  </si>
  <si>
    <t>Total</t>
  </si>
  <si>
    <t>Indust'l equip</t>
  </si>
  <si>
    <t xml:space="preserve">Total </t>
  </si>
  <si>
    <t>Emissions ('000 t CO2)</t>
  </si>
  <si>
    <t>Residential</t>
    <phoneticPr fontId="63" type="noConversion"/>
  </si>
  <si>
    <t>Private</t>
  </si>
  <si>
    <t>Public</t>
  </si>
  <si>
    <t>Commercial</t>
  </si>
  <si>
    <t>Industrial</t>
  </si>
  <si>
    <r>
      <rPr>
        <b/>
        <sz val="11"/>
        <color rgb="FFFF0000"/>
        <rFont val="Calibri"/>
        <family val="2"/>
        <scheme val="minor"/>
      </rPr>
      <t>1.</t>
    </r>
    <r>
      <rPr>
        <b/>
        <sz val="11"/>
        <rFont val="Calibri"/>
        <family val="2"/>
        <scheme val="minor"/>
      </rPr>
      <t xml:space="preserve"> Flat size: Source of information</t>
    </r>
  </si>
  <si>
    <r>
      <rPr>
        <b/>
        <sz val="11"/>
        <color rgb="FFFF0000"/>
        <rFont val="Calibri"/>
        <family val="2"/>
        <scheme val="minor"/>
      </rPr>
      <t xml:space="preserve">2. </t>
    </r>
    <r>
      <rPr>
        <b/>
        <sz val="11"/>
        <color theme="1"/>
        <rFont val="Calibri"/>
        <family val="2"/>
        <scheme val="minor"/>
      </rPr>
      <t>Energy efficiency. Source of information</t>
    </r>
  </si>
  <si>
    <t>IEA, Energy Efficiency 2018</t>
  </si>
  <si>
    <t>Emission factors:</t>
  </si>
  <si>
    <t>Electricity</t>
  </si>
  <si>
    <t>Kg CO2/KWh</t>
  </si>
  <si>
    <t xml:space="preserve">  </t>
  </si>
  <si>
    <t>Gas</t>
  </si>
  <si>
    <t>Kg CO2/TJ</t>
  </si>
  <si>
    <t>Source for electricity:  Electricity page.</t>
  </si>
  <si>
    <t>Source for electricity:  EF-1 page page.</t>
  </si>
  <si>
    <t xml:space="preserve">Impact of using District Cooling: And Freshwater cooling towers:  </t>
  </si>
  <si>
    <t>Saving %per EMSD Energy Saving wesite</t>
  </si>
  <si>
    <t>https://www.emsd.gov.hk/energyland/en/building/district_cooling_sys/dcs_benefits.html</t>
  </si>
  <si>
    <t>Normal A/C</t>
  </si>
  <si>
    <t>Fresh water cooling</t>
  </si>
  <si>
    <t>Energy Saving (TJ)</t>
  </si>
  <si>
    <t>Energy Saving (GWh)</t>
  </si>
  <si>
    <t>Energy saving compare with traditional air-cooled air-conditioning systems^1</t>
  </si>
  <si>
    <t>Floor area installed  (million m2)</t>
  </si>
  <si>
    <t>Floor area calculation</t>
  </si>
  <si>
    <t xml:space="preserve">Electricity consumption </t>
  </si>
  <si>
    <t>Gas Consumption</t>
  </si>
  <si>
    <t>Emission factor</t>
  </si>
  <si>
    <t xml:space="preserve">Emissions </t>
  </si>
  <si>
    <t xml:space="preserve">Energy efficiency  -- Electricity </t>
  </si>
  <si>
    <t>Energy efficiency -- Gas</t>
  </si>
  <si>
    <t>Electrification (share of cooking, hot water &amp; Refridgeration)</t>
  </si>
  <si>
    <t xml:space="preserve">No. of Flats </t>
  </si>
  <si>
    <t>Floor area</t>
  </si>
  <si>
    <t xml:space="preserve">Population </t>
  </si>
  <si>
    <t>Floor area per capita</t>
  </si>
  <si>
    <t xml:space="preserve">Hot Water </t>
  </si>
  <si>
    <r>
      <t>m</t>
    </r>
    <r>
      <rPr>
        <vertAlign val="superscript"/>
        <sz val="11"/>
        <rFont val="Calibri"/>
        <family val="2"/>
        <scheme val="minor"/>
      </rPr>
      <t>2</t>
    </r>
  </si>
  <si>
    <t>1000 people</t>
  </si>
  <si>
    <t>TJ</t>
  </si>
  <si>
    <t>kt</t>
  </si>
  <si>
    <r>
      <t xml:space="preserve">KWh per Flat or </t>
    </r>
    <r>
      <rPr>
        <b/>
        <sz val="11"/>
        <rFont val="Calibri"/>
        <family val="2"/>
        <scheme val="minor"/>
      </rPr>
      <t>m2</t>
    </r>
  </si>
  <si>
    <t>%</t>
  </si>
  <si>
    <t xml:space="preserve">Residential </t>
  </si>
  <si>
    <t>Private Residential</t>
  </si>
  <si>
    <t>Public Residential</t>
  </si>
  <si>
    <t>Office</t>
    <phoneticPr fontId="63" type="noConversion"/>
  </si>
  <si>
    <t>Restaurant</t>
  </si>
  <si>
    <t>Accommodation</t>
  </si>
  <si>
    <t>Retail</t>
  </si>
  <si>
    <t>Human Health</t>
  </si>
  <si>
    <t>Education</t>
  </si>
  <si>
    <t>Other Commercial Segments</t>
  </si>
  <si>
    <t>Industrial Land</t>
  </si>
  <si>
    <t>Industrial Estates</t>
  </si>
  <si>
    <t>Warehouse and Open Storage</t>
  </si>
  <si>
    <t>Warehouse &amp; Open Storage</t>
  </si>
  <si>
    <t>TOTAL</t>
  </si>
  <si>
    <t xml:space="preserve">Floor area </t>
  </si>
  <si>
    <t>emission factor</t>
  </si>
  <si>
    <t>Electrification (share of cooking, hot water &amp; Ref)</t>
  </si>
  <si>
    <t>No. of Flats</t>
  </si>
  <si>
    <t>m3 per capita</t>
  </si>
  <si>
    <t>popu</t>
    <phoneticPr fontId="3" type="noConversion"/>
  </si>
  <si>
    <t>popu_private_raw</t>
    <phoneticPr fontId="3" type="noConversion"/>
  </si>
  <si>
    <t>popu_public_raw</t>
    <phoneticPr fontId="3" type="noConversion"/>
  </si>
  <si>
    <t>popu_private</t>
    <phoneticPr fontId="3" type="noConversion"/>
  </si>
  <si>
    <t>popu_public</t>
    <phoneticPr fontId="3" type="noConversion"/>
  </si>
  <si>
    <t>gdp</t>
    <phoneticPr fontId="3" type="noConversion"/>
  </si>
  <si>
    <t>gdpper</t>
  </si>
  <si>
    <t>hh</t>
    <phoneticPr fontId="3" type="noConversion"/>
  </si>
  <si>
    <t>poperhh</t>
    <phoneticPr fontId="3" type="noConversion"/>
  </si>
  <si>
    <t>rear</t>
    <phoneticPr fontId="3" type="noConversion"/>
  </si>
  <si>
    <t>cmar</t>
    <phoneticPr fontId="3" type="noConversion"/>
  </si>
  <si>
    <t>Explain for the abbr. of variables</t>
    <phoneticPr fontId="3" type="noConversion"/>
  </si>
  <si>
    <t>History&amp;Trend</t>
    <phoneticPr fontId="3" type="noConversion"/>
  </si>
  <si>
    <t>reener</t>
    <phoneticPr fontId="3" type="noConversion"/>
  </si>
  <si>
    <t>PHre户均</t>
    <phoneticPr fontId="3" type="noConversion"/>
  </si>
  <si>
    <t>PCre人均</t>
    <phoneticPr fontId="3" type="noConversion"/>
  </si>
  <si>
    <t>private ENER</t>
    <phoneticPr fontId="3" type="noConversion"/>
  </si>
  <si>
    <t>PC private ENER</t>
    <phoneticPr fontId="3" type="noConversion"/>
  </si>
  <si>
    <t>public ENER</t>
    <phoneticPr fontId="3" type="noConversion"/>
  </si>
  <si>
    <t>PC public ENER</t>
    <phoneticPr fontId="3" type="noConversion"/>
  </si>
  <si>
    <t>comener</t>
    <phoneticPr fontId="3" type="noConversion"/>
  </si>
  <si>
    <t>PAce单位面积</t>
    <phoneticPr fontId="3" type="noConversion"/>
  </si>
  <si>
    <t>Future_Prediction</t>
    <phoneticPr fontId="3" type="noConversion"/>
  </si>
  <si>
    <t>origin_residential</t>
    <phoneticPr fontId="3" type="noConversion"/>
  </si>
  <si>
    <t>origin_commercial</t>
    <phoneticPr fontId="3" type="noConversion"/>
  </si>
  <si>
    <t>new_residential</t>
    <phoneticPr fontId="3" type="noConversion"/>
  </si>
  <si>
    <t>new_commercial</t>
    <phoneticPr fontId="3" type="noConversion"/>
  </si>
  <si>
    <t>DIFF_COMMERCIAL</t>
    <phoneticPr fontId="3" type="noConversion"/>
  </si>
  <si>
    <t>new_private</t>
    <phoneticPr fontId="3" type="noConversion"/>
  </si>
  <si>
    <t>new_public</t>
    <phoneticPr fontId="3" type="noConversion"/>
  </si>
  <si>
    <t>population,×10^6 people</t>
    <phoneticPr fontId="3" type="noConversion"/>
  </si>
  <si>
    <t>均值6956.12; 
10年均增长率2.00%
5年均增长率1.33%</t>
    <phoneticPr fontId="3" type="noConversion"/>
  </si>
  <si>
    <t>均值8592.81; 
5年均增长率-0.74%
10年均增长率-0.74%</t>
    <phoneticPr fontId="3" type="noConversion"/>
  </si>
  <si>
    <t>Old:direct regress total energy;
New: predict intensity*popu(or area)</t>
    <phoneticPr fontId="3" type="noConversion"/>
  </si>
  <si>
    <t>GDP, bil.USD2012</t>
    <phoneticPr fontId="3" type="noConversion"/>
  </si>
  <si>
    <t>gdpper</t>
    <phoneticPr fontId="3" type="noConversion"/>
  </si>
  <si>
    <t>GDP per capita, kUSD2012</t>
    <phoneticPr fontId="3" type="noConversion"/>
  </si>
  <si>
    <t>household unit, predicted according to HK 2030 Baseline report</t>
    <phoneticPr fontId="3" type="noConversion"/>
  </si>
  <si>
    <t>hhnew</t>
    <phoneticPr fontId="3" type="noConversion"/>
  </si>
  <si>
    <t>household unit, predicted according to HK C&amp;SD</t>
    <phoneticPr fontId="3" type="noConversion"/>
  </si>
  <si>
    <t>Average no. of people per household</t>
    <phoneticPr fontId="3" type="noConversion"/>
  </si>
  <si>
    <t>Final results(2019/9/5)</t>
    <phoneticPr fontId="3" type="noConversion"/>
  </si>
  <si>
    <t>residential building area, Mil. M2</t>
    <phoneticPr fontId="3" type="noConversion"/>
  </si>
  <si>
    <t>commercial building area, Mil m2 in GFA</t>
    <phoneticPr fontId="3" type="noConversion"/>
  </si>
  <si>
    <t>re</t>
    <phoneticPr fontId="3" type="noConversion"/>
  </si>
  <si>
    <t>residential total energy use,TJ</t>
    <phoneticPr fontId="3" type="noConversion"/>
  </si>
  <si>
    <t>cm</t>
    <phoneticPr fontId="3" type="noConversion"/>
  </si>
  <si>
    <t>commercial total energy use,TJ</t>
    <phoneticPr fontId="3" type="noConversion"/>
  </si>
  <si>
    <t>平均值</t>
    <phoneticPr fontId="3" type="noConversion"/>
  </si>
  <si>
    <t xml:space="preserve">the following is extracted from the updated Policy Concept Model </t>
  </si>
  <si>
    <t>conversion for gdp</t>
  </si>
  <si>
    <t>conversion for capita</t>
  </si>
  <si>
    <t>conversion for population</t>
  </si>
  <si>
    <t>GDP</t>
  </si>
  <si>
    <t>Year-on-year change</t>
  </si>
  <si>
    <t>GDP per capita HK$</t>
  </si>
  <si>
    <t>Usual
Residents ^3</t>
  </si>
  <si>
    <t xml:space="preserve">gdp </t>
  </si>
  <si>
    <t>HK$ million</t>
  </si>
  <si>
    <t>HK$</t>
  </si>
  <si>
    <t>US$</t>
  </si>
  <si>
    <t>US$ billion</t>
  </si>
  <si>
    <t>US$ k</t>
  </si>
  <si>
    <t xml:space="preserve">hh: figures edited from 2016-2050 using updated Policy Concept Model </t>
  </si>
  <si>
    <t>Fitting to get future domestic household number</t>
    <phoneticPr fontId="3" type="noConversion"/>
  </si>
  <si>
    <t>Domestic Household (HK C&amp;SD Pred)</t>
    <phoneticPr fontId="3" type="noConversion"/>
  </si>
  <si>
    <t>拟合所得公式：
Fitting Results:</t>
    <phoneticPr fontId="3" type="noConversion"/>
  </si>
  <si>
    <t>注：由以下，二次、三次、四次拟合：采用三次拟合结果，拟合较好（R2高）。虽然3或4次的拟合能够获得更高的R2，但曲线在两点中间有拐点，因此更不适合。
Note: The first fitting curve(Y=Ax2+Bx+C) is adopted. Although the latter two fittings have better R2, but there exist inflection point in between two points in those two fitting curve.</t>
    <phoneticPr fontId="3" type="noConversion"/>
  </si>
  <si>
    <t>二次拟合(y=Ax2+Bx+c)</t>
    <phoneticPr fontId="3" type="noConversion"/>
  </si>
  <si>
    <t>三次拟合(y=Ax3+Bx2+Cx+D)</t>
    <phoneticPr fontId="3" type="noConversion"/>
  </si>
  <si>
    <t>四次拟合(y=Ax4+Bx3+Cx2+Dx+E)</t>
    <phoneticPr fontId="3" type="noConversion"/>
  </si>
  <si>
    <t>BTU-TJ Conversion Factor</t>
    <phoneticPr fontId="3" type="noConversion"/>
  </si>
  <si>
    <t>Data source:</t>
    <phoneticPr fontId="3" type="noConversion"/>
  </si>
  <si>
    <t>IEA World Energy Outlook 2017, Appendix</t>
    <phoneticPr fontId="3" type="noConversion"/>
  </si>
  <si>
    <t>MBTU/TJ</t>
    <phoneticPr fontId="3" type="noConversion"/>
  </si>
  <si>
    <t>BTU/TJ</t>
    <phoneticPr fontId="3" type="noConversion"/>
  </si>
  <si>
    <t>Prediction of Future Residential&amp;Commercial Total Energy Use</t>
    <phoneticPr fontId="3" type="noConversion"/>
  </si>
  <si>
    <t>History residential data(no consider division of private/public)</t>
    <phoneticPr fontId="3" type="noConversion"/>
  </si>
  <si>
    <t>From Sheet: Future Total Energy</t>
    <phoneticPr fontId="3" type="noConversion"/>
  </si>
  <si>
    <t>Note:     History: from sheet “Residential8Fuel"</t>
    <phoneticPr fontId="3" type="noConversion"/>
  </si>
  <si>
    <t>Future: predict by apply TREND function</t>
    <phoneticPr fontId="3" type="noConversion"/>
  </si>
  <si>
    <t>Note:     History: from sheet “History Type Share"</t>
    <phoneticPr fontId="3" type="noConversion"/>
  </si>
  <si>
    <t>Future ratio: predict by apply TREND function</t>
    <phoneticPr fontId="3" type="noConversion"/>
  </si>
  <si>
    <t>Oil&amp;Coal by fixing amout at 8 TJ</t>
    <phoneticPr fontId="3" type="noConversion"/>
  </si>
  <si>
    <t>Private Residential Energy Mix</t>
    <phoneticPr fontId="3" type="noConversion"/>
  </si>
  <si>
    <t>Amount Unit: TJ</t>
    <phoneticPr fontId="3" type="noConversion"/>
  </si>
  <si>
    <t>Public Residential Energy Mix</t>
    <phoneticPr fontId="3" type="noConversion"/>
  </si>
  <si>
    <t>商业 Commercial Energy Mix</t>
    <phoneticPr fontId="3" type="noConversion"/>
  </si>
  <si>
    <t>Private</t>
    <phoneticPr fontId="3" type="noConversion"/>
  </si>
  <si>
    <t>Public</t>
    <phoneticPr fontId="3" type="noConversion"/>
  </si>
  <si>
    <r>
      <rPr>
        <sz val="8"/>
        <rFont val="Noto Sans CJK JP Regular"/>
        <family val="2"/>
      </rPr>
      <t xml:space="preserve">油及煤產品^1
</t>
    </r>
    <r>
      <rPr>
        <sz val="8"/>
        <rFont val="Arial"/>
        <family val="2"/>
      </rPr>
      <t>Oil &amp; Coal
Products</t>
    </r>
  </si>
  <si>
    <t xml:space="preserve">1. We assume that the remaining diesel/coal is for emergency generator units :. The current energy use is for testing the units and does not contribute towards the total energy mix for commercial buildings. </t>
  </si>
  <si>
    <t>2. We assume that the drop in 2020-2022 was due to the COVID pandemic</t>
  </si>
  <si>
    <t>3. We are assuming that the electricity share in the commercial energy mix will remain the same as previous models showed very little change between years</t>
  </si>
  <si>
    <t xml:space="preserve">4. We are taking the 2018 measurement for town gas and natural gas due to COVID and social unrest </t>
  </si>
  <si>
    <t>Prediction of Future Residential/Commercial End-use Energy Share</t>
    <phoneticPr fontId="3" type="noConversion"/>
  </si>
  <si>
    <t>Method:</t>
    <phoneticPr fontId="3" type="noConversion"/>
  </si>
  <si>
    <t>1.Decomposition of Energy Consumption</t>
    <phoneticPr fontId="3" type="noConversion"/>
  </si>
  <si>
    <t xml:space="preserve">For residential future end-use electricity demand structure, all categories except "Air conditioning" is predicted by using TREND function and assuming a proper 2050 share percentage which, together with the share in Electricity, makes the results of end-use share in "Energy Except Electricity" reasonable(reasonable means not against the real world, e.g. other energy type for "air conditioning" should be zero). Then, the share of "Air Conditioning" is predicted by 1-(all the demand share ratios of other categories). </t>
    <phoneticPr fontId="3" type="noConversion"/>
  </si>
  <si>
    <t>For commercial,  the energy demand share of "Hot Water&amp;Refrigeration", "Lighting" and "Office Equipment"  is fixed at 2021 level; the "Air conditioning" category's energy share is scaled from this category's share in electricity with a 25/24 multiplier to also make the results of  "Energy Except Electricity" share resonable.</t>
  </si>
  <si>
    <t>1) See below</t>
  </si>
  <si>
    <t>2. Decomposition of “Energy except electricity"(other energy type) Consumption</t>
    <phoneticPr fontId="3" type="noConversion"/>
  </si>
  <si>
    <t xml:space="preserve">From calculation of history data(shown in "Residential8EndUse""Commercial8EndUse"), only Cooking and Heating consume non-electric energy. </t>
    <phoneticPr fontId="3" type="noConversion"/>
  </si>
  <si>
    <t>Therefore, future prediction are based on the history trend, setting a small increasing trend for non-electricity energy consumption of Hot Water,  a small decreasing trend for Cooking, and 0%  for all the other end-uses.</t>
    <phoneticPr fontId="3" type="noConversion"/>
  </si>
  <si>
    <t>3. Decomposition of Electricity Consumption</t>
    <phoneticPr fontId="3" type="noConversion"/>
  </si>
  <si>
    <t>The share of different end-uses in electricity consumption is predicted based on the projections for energy and non-elec energy.</t>
    <phoneticPr fontId="3" type="noConversion"/>
  </si>
  <si>
    <t>Equation(for solving y):</t>
    <phoneticPr fontId="3" type="noConversion"/>
  </si>
  <si>
    <t xml:space="preserve">    [y(End use A's share in electricity)*ESTE(electricity's share in total energy)]+[ESN(End use A's share in non-electricity)*NSTE(non-elec-energy's share in total energy)]=STE(End use A's share in total energy)</t>
  </si>
  <si>
    <t>Check：</t>
    <phoneticPr fontId="3" type="noConversion"/>
  </si>
  <si>
    <t>"Air Conditioning"'s share in energy/electricity demand both increase in the future, which is in accordance with the possible trend that future temperature and heatwave frequency in HK will increse due to climate change.</t>
    <phoneticPr fontId="3" type="noConversion"/>
  </si>
  <si>
    <t>Redisential-Private</t>
    <phoneticPr fontId="3" type="noConversion"/>
  </si>
  <si>
    <t>Fix setting for cooking: (by my own judgement now)(if use TREND for "cooking"  the ratio will dicrease to &lt;5% in 2050; for refregeration it's 7% and this category for other types of energy-colAB-will be much minus)</t>
    <phoneticPr fontId="3" type="noConversion"/>
  </si>
  <si>
    <t>Redisential-Public</t>
    <phoneticPr fontId="3" type="noConversion"/>
  </si>
  <si>
    <t>Energy Except Electricity (Town gas, oil&amp;coal), NOT YET ADJUSTED</t>
    <phoneticPr fontId="3" type="noConversion"/>
  </si>
  <si>
    <t>Energy Except Electricity (Town gas, oil&amp;coal), ADJUSTED</t>
    <phoneticPr fontId="3" type="noConversion"/>
  </si>
  <si>
    <t>2. Air Conditioning,</t>
    <phoneticPr fontId="3" type="noConversion"/>
  </si>
  <si>
    <t>Refrigeration-&gt;0</t>
  </si>
  <si>
    <t xml:space="preserve">3.(190404) </t>
    <phoneticPr fontId="3" type="noConversion"/>
  </si>
  <si>
    <t xml:space="preserve">Lighting, Office Equipment, </t>
    <phoneticPr fontId="3" type="noConversion"/>
  </si>
  <si>
    <t>Others-&gt;0</t>
  </si>
  <si>
    <t>4.Adjust Cooking to make</t>
    <phoneticPr fontId="3" type="noConversion"/>
  </si>
  <si>
    <t>Another possibility for Air Condition</t>
    <phoneticPr fontId="3" type="noConversion"/>
  </si>
  <si>
    <t>the sum=1</t>
    <phoneticPr fontId="3" type="noConversion"/>
  </si>
  <si>
    <t>C$67*M78/$M$67</t>
  </si>
  <si>
    <t>25/24 is a adjucting coefficient, to make energy of other type has (as close as possible with) 0% share in the air-conditioning end-use</t>
    <phoneticPr fontId="3" type="noConversion"/>
  </si>
  <si>
    <t xml:space="preserve">1) Updated 10/4/24  and most recent data at time of revision is 2021. Will peg the energy decomposition of Hot Water, lighting, and equipment to 2021 data </t>
  </si>
  <si>
    <t>1) NOTE: assumption that from 2022-2050, the % of energy use will not change and will remain constant</t>
  </si>
  <si>
    <t>Commercial Energy End-use</t>
    <phoneticPr fontId="3" type="noConversion"/>
  </si>
  <si>
    <t>(For applying Trend function to historical data)</t>
    <phoneticPr fontId="3" type="noConversion"/>
  </si>
  <si>
    <t>Cooling</t>
    <phoneticPr fontId="3" type="noConversion"/>
  </si>
  <si>
    <t>Heating</t>
    <phoneticPr fontId="3" type="noConversion"/>
  </si>
  <si>
    <t>Appliance</t>
    <phoneticPr fontId="3" type="noConversion"/>
  </si>
  <si>
    <t>electricity(TJ)</t>
    <phoneticPr fontId="3" type="noConversion"/>
  </si>
  <si>
    <t>coal(TJ)</t>
    <phoneticPr fontId="3" type="noConversion"/>
  </si>
  <si>
    <t>natural gas(TJ)</t>
    <phoneticPr fontId="3" type="noConversion"/>
  </si>
  <si>
    <t>petroleum diesel (TJ)</t>
    <phoneticPr fontId="3" type="noConversion"/>
  </si>
  <si>
    <t>heat (TJ)</t>
    <phoneticPr fontId="3" type="noConversion"/>
  </si>
  <si>
    <t>biomass (TJ)</t>
    <phoneticPr fontId="3" type="noConversion"/>
  </si>
  <si>
    <t>1) From 2019-2021, we see a significant drop. We can attribute this to COVID</t>
  </si>
  <si>
    <t>2) NOTE: The EPS model's definition of Appliance covers the EMSD's defintion of cooking, office equipment and hot water/ refrigeration</t>
  </si>
  <si>
    <t>Commercial End-use Energy Data (almost prepared, only leave unit not converted yet)</t>
    <phoneticPr fontId="3" type="noConversion"/>
  </si>
  <si>
    <t>P.S.  The Sum energy numbers in "Check Total"(at the end of this sheet)  are the same with those in sheet"Future Pred".</t>
    <phoneticPr fontId="3" type="noConversion"/>
  </si>
  <si>
    <t>electricity(TJ)</t>
  </si>
  <si>
    <t>coal(TJ)</t>
  </si>
  <si>
    <t>natural gas(TJ)</t>
  </si>
  <si>
    <t>petroleum diesel (TJ)</t>
  </si>
  <si>
    <t>heat (TJ)</t>
  </si>
  <si>
    <t>biomass (TJ)</t>
  </si>
  <si>
    <t>Check Total</t>
    <phoneticPr fontId="3" type="noConversion"/>
  </si>
  <si>
    <t>Commercial End-use Energy Data (Final Results)</t>
    <phoneticPr fontId="3" type="noConversion"/>
  </si>
  <si>
    <t>electricity(BTU)</t>
    <phoneticPr fontId="3" type="noConversion"/>
  </si>
  <si>
    <t>coal(BTU)</t>
    <phoneticPr fontId="3" type="noConversion"/>
  </si>
  <si>
    <t>natural gas(BTU)</t>
    <phoneticPr fontId="3" type="noConversion"/>
  </si>
  <si>
    <t>petroleum diesel (BTU)</t>
    <phoneticPr fontId="3" type="noConversion"/>
  </si>
  <si>
    <t>heat (BTU)</t>
    <phoneticPr fontId="3" type="noConversion"/>
  </si>
  <si>
    <t>biomass (BTU)</t>
    <phoneticPr fontId="3" type="noConversion"/>
  </si>
  <si>
    <t>1BTU=</t>
  </si>
  <si>
    <t>J</t>
  </si>
  <si>
    <t>BTU</t>
  </si>
  <si>
    <t>Private Residential Energy End-use</t>
    <phoneticPr fontId="3" type="noConversion"/>
  </si>
  <si>
    <t>Residential End-use Energy Data (almost prepared, only leave unit not converted yet)</t>
    <phoneticPr fontId="3" type="noConversion"/>
  </si>
  <si>
    <t>Public Residential Energy End-use</t>
    <phoneticPr fontId="3" type="noConversion"/>
  </si>
  <si>
    <t>Private Residential End-use Energy Data</t>
    <phoneticPr fontId="3" type="noConversion"/>
  </si>
  <si>
    <t xml:space="preserve">Million </t>
  </si>
  <si>
    <t>enerngy consumption per capita</t>
  </si>
  <si>
    <t>MJ/PERPSON</t>
  </si>
  <si>
    <t>Public Residential End-use Energy Data</t>
    <phoneticPr fontId="3" type="noConversion"/>
  </si>
  <si>
    <t>electricity (BTU)</t>
  </si>
  <si>
    <t>coal (BTU)</t>
  </si>
  <si>
    <t>natural gas (BTU)</t>
  </si>
  <si>
    <t>petroleum diesel (BTU)</t>
  </si>
  <si>
    <t>heat (BTU)</t>
  </si>
  <si>
    <t>biomass (BTU)</t>
  </si>
  <si>
    <t>kerosene (BTU)</t>
  </si>
  <si>
    <t>heavy or residual fuel oil (BTU)</t>
  </si>
  <si>
    <t>LPG propane or butane (BTU)</t>
  </si>
  <si>
    <t>hydrogen (BTU)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</si>
</sst>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_(* \(#,##0.00\);_(* &quot;-&quot;??_);_(@_)"/>
    <numFmt numFmtId="165" formatCode="_(&quot;HK$&quot;* #,##0.00_);_(&quot;HK$&quot;* \(#,##0.00\);_(&quot;HK$&quot;* &quot;-&quot;??_);_(@_)"/>
    <numFmt numFmtId="166" formatCode="_-* #,##0.00_-;\-* #,##0.00_-;_-* &quot;-&quot;??_-;_-@_-"/>
    <numFmt numFmtId="167" formatCode="0.00_);[Red]\(0.00\)"/>
    <numFmt numFmtId="168" formatCode="0.0%"/>
    <numFmt numFmtId="169" formatCode="0.0"/>
    <numFmt numFmtId="170" formatCode="###\ ###\ ##0.0"/>
    <numFmt numFmtId="171" formatCode="#\ ###\ ###"/>
    <numFmt numFmtId="172" formatCode="0_);[Red]\(0\)"/>
    <numFmt numFmtId="173" formatCode="0.000"/>
    <numFmt numFmtId="174" formatCode="_(* #,##0_);_(* \(#,##0\);_(* &quot;-&quot;??_);_(@_)"/>
    <numFmt numFmtId="175" formatCode="_(* #,##0.0_);_(* \(#,##0.0\);_(* &quot;-&quot;??_);_(@_)"/>
    <numFmt numFmtId="176" formatCode="[$-13C09]d\ mmm\ yyyy;@"/>
    <numFmt numFmtId="177" formatCode="_(* #,##0.0000_);_(* \(#,##0.0000\);_(* &quot;-&quot;??_);_(@_)"/>
    <numFmt numFmtId="178" formatCode="_-* #,##0_-;\-* #,##0_-;_-* &quot;-&quot;??_-;_-@_-"/>
    <numFmt numFmtId="179" formatCode="_(* #,##0_);_(* \(#,##0\);_(* &quot;-&quot;????_);_(@_)"/>
    <numFmt numFmtId="180" formatCode="_(* #,##0.0_);_(* \(#,##0.0\);_(* &quot;-&quot;?_);_(@_)"/>
  </numFmts>
  <fonts count="77">
    <font>
      <sz val="11"/>
      <color theme="1"/>
      <name val="Calibri"/>
      <family val="2"/>
      <scheme val="minor"/>
    </font>
    <font>
      <sz val="11"/>
      <color theme="1"/>
      <name val="Calibri"/>
      <family val="2"/>
      <charset val="134"/>
      <scheme val="minor"/>
    </font>
    <font>
      <sz val="11"/>
      <color theme="1"/>
      <name val="Calibri"/>
      <family val="2"/>
      <scheme val="minor"/>
    </font>
    <font>
      <sz val="9"/>
      <name val="Calibri"/>
      <family val="3"/>
      <charset val="134"/>
      <scheme val="minor"/>
    </font>
    <font>
      <sz val="8"/>
      <name val="Noto Sans CJK JP Regular"/>
      <family val="2"/>
    </font>
    <font>
      <sz val="8"/>
      <name val="Arial"/>
      <family val="2"/>
    </font>
    <font>
      <sz val="6"/>
      <name val="Arial"/>
      <family val="2"/>
    </font>
    <font>
      <sz val="8"/>
      <color rgb="FF000000"/>
      <name val="Arial"/>
      <family val="2"/>
    </font>
    <font>
      <b/>
      <sz val="11"/>
      <color theme="1"/>
      <name val="Calibri"/>
      <family val="2"/>
      <scheme val="minor"/>
    </font>
    <font>
      <sz val="11"/>
      <color theme="1" tint="4.9989318521683403E-2"/>
      <name val="Calibri"/>
      <family val="2"/>
      <scheme val="minor"/>
    </font>
    <font>
      <sz val="11"/>
      <color theme="1" tint="4.9989318521683403E-2"/>
      <name val="Calibri"/>
      <family val="3"/>
      <charset val="134"/>
      <scheme val="minor"/>
    </font>
    <font>
      <sz val="11"/>
      <color theme="1"/>
      <name val="Calibri"/>
      <family val="3"/>
      <charset val="134"/>
      <scheme val="minor"/>
    </font>
    <font>
      <b/>
      <sz val="11"/>
      <color theme="1"/>
      <name val="Calibri"/>
      <family val="3"/>
      <charset val="134"/>
      <scheme val="minor"/>
    </font>
    <font>
      <u/>
      <sz val="11"/>
      <color theme="10"/>
      <name val="Calibri"/>
      <family val="2"/>
      <scheme val="minor"/>
    </font>
    <font>
      <sz val="9"/>
      <color indexed="81"/>
      <name val="宋体"/>
      <family val="3"/>
      <charset val="134"/>
    </font>
    <font>
      <b/>
      <sz val="9"/>
      <color indexed="81"/>
      <name val="宋体"/>
      <family val="3"/>
      <charset val="134"/>
    </font>
    <font>
      <sz val="10"/>
      <name val="Calibri"/>
      <family val="2"/>
    </font>
    <font>
      <sz val="10"/>
      <name val="Arial"/>
      <family val="2"/>
    </font>
    <font>
      <sz val="12"/>
      <color theme="1"/>
      <name val="Calibri"/>
      <family val="1"/>
      <charset val="136"/>
      <scheme val="minor"/>
    </font>
    <font>
      <b/>
      <sz val="14"/>
      <color indexed="8"/>
      <name val="Times New Roman"/>
      <family val="1"/>
    </font>
    <font>
      <b/>
      <sz val="14"/>
      <color indexed="8"/>
      <name val="新細明體"/>
      <family val="1"/>
      <charset val="136"/>
    </font>
    <font>
      <sz val="9"/>
      <name val="新細明體"/>
      <family val="1"/>
      <charset val="136"/>
    </font>
    <font>
      <b/>
      <sz val="14"/>
      <color theme="1"/>
      <name val="Times New Roman"/>
      <family val="1"/>
    </font>
    <font>
      <sz val="11"/>
      <color theme="1"/>
      <name val="Times New Roman"/>
      <family val="1"/>
    </font>
    <font>
      <u/>
      <sz val="12"/>
      <color indexed="12"/>
      <name val="新細明體"/>
      <family val="1"/>
      <charset val="136"/>
    </font>
    <font>
      <b/>
      <sz val="11"/>
      <color theme="1"/>
      <name val="Times New Roman"/>
      <family val="1"/>
    </font>
    <font>
      <sz val="11"/>
      <color rgb="FF000000"/>
      <name val="Times New Roman"/>
      <family val="1"/>
    </font>
    <font>
      <sz val="11"/>
      <color indexed="8"/>
      <name val="新細明體"/>
      <family val="1"/>
      <charset val="136"/>
    </font>
    <font>
      <sz val="11"/>
      <color indexed="8"/>
      <name val="細明體"/>
      <family val="3"/>
      <charset val="136"/>
    </font>
    <font>
      <sz val="11"/>
      <color theme="1"/>
      <name val="細明體"/>
      <family val="3"/>
      <charset val="136"/>
    </font>
    <font>
      <sz val="11"/>
      <color indexed="8"/>
      <name val="Calibri"/>
      <family val="2"/>
      <scheme val="minor"/>
    </font>
    <font>
      <sz val="11"/>
      <color rgb="FFFF0000"/>
      <name val="Calibri"/>
      <family val="2"/>
      <scheme val="minor"/>
    </font>
    <font>
      <u/>
      <sz val="11"/>
      <color theme="1"/>
      <name val="Calibri"/>
      <family val="2"/>
      <scheme val="minor"/>
    </font>
    <font>
      <b/>
      <sz val="14"/>
      <color theme="1"/>
      <name val="Calibri"/>
      <family val="3"/>
      <charset val="134"/>
      <scheme val="minor"/>
    </font>
    <font>
      <b/>
      <sz val="16"/>
      <color theme="1"/>
      <name val="Calibri"/>
      <family val="3"/>
      <charset val="134"/>
      <scheme val="minor"/>
    </font>
    <font>
      <b/>
      <sz val="18"/>
      <color theme="1"/>
      <name val="Calibri"/>
      <family val="3"/>
      <charset val="134"/>
      <scheme val="minor"/>
    </font>
    <font>
      <b/>
      <sz val="11"/>
      <name val="Calibri"/>
      <family val="2"/>
    </font>
    <font>
      <b/>
      <sz val="11"/>
      <name val="Arial"/>
      <family val="2"/>
    </font>
    <font>
      <b/>
      <sz val="11"/>
      <name val="Calibri"/>
      <family val="3"/>
      <charset val="134"/>
      <scheme val="minor"/>
    </font>
    <font>
      <b/>
      <sz val="12"/>
      <color rgb="FF000000"/>
      <name val="Arial"/>
      <family val="2"/>
    </font>
    <font>
      <b/>
      <vertAlign val="superscript"/>
      <sz val="12"/>
      <color rgb="FF000000"/>
      <name val="Arial"/>
      <family val="2"/>
    </font>
    <font>
      <b/>
      <sz val="11"/>
      <color theme="1"/>
      <name val="Arial"/>
      <family val="2"/>
    </font>
    <font>
      <sz val="12"/>
      <color rgb="FF000000"/>
      <name val="Arial"/>
      <family val="2"/>
    </font>
    <font>
      <b/>
      <i/>
      <sz val="12"/>
      <color theme="1"/>
      <name val="Arial"/>
      <family val="2"/>
    </font>
    <font>
      <sz val="12"/>
      <color rgb="FFA52A2A"/>
      <name val="Calibri"/>
      <family val="2"/>
      <scheme val="minor"/>
    </font>
    <font>
      <sz val="11"/>
      <color theme="2"/>
      <name val="Calibri"/>
      <family val="2"/>
      <scheme val="minor"/>
    </font>
    <font>
      <sz val="11"/>
      <color theme="2"/>
      <name val="Calibri"/>
      <family val="3"/>
      <charset val="134"/>
      <scheme val="minor"/>
    </font>
    <font>
      <b/>
      <sz val="11"/>
      <color rgb="FFFF0000"/>
      <name val="Calibri"/>
      <family val="3"/>
      <charset val="134"/>
      <scheme val="minor"/>
    </font>
    <font>
      <b/>
      <sz val="14"/>
      <color theme="1"/>
      <name val="Calibri"/>
      <family val="2"/>
      <scheme val="minor"/>
    </font>
    <font>
      <sz val="11"/>
      <color theme="2" tint="-0.499984740745262"/>
      <name val="Calibri"/>
      <family val="2"/>
      <scheme val="minor"/>
    </font>
    <font>
      <sz val="11"/>
      <color theme="2" tint="-0.499984740745262"/>
      <name val="Calibri"/>
      <family val="3"/>
      <charset val="134"/>
      <scheme val="minor"/>
    </font>
    <font>
      <b/>
      <sz val="16"/>
      <color rgb="FF692272"/>
      <name val="Arial"/>
      <family val="2"/>
    </font>
    <font>
      <b/>
      <u/>
      <sz val="11"/>
      <color theme="1"/>
      <name val="Calibri"/>
      <family val="3"/>
      <charset val="134"/>
      <scheme val="minor"/>
    </font>
    <font>
      <sz val="6.5"/>
      <name val="Noto Sans CJK JP Regular"/>
      <family val="2"/>
    </font>
    <font>
      <sz val="6.5"/>
      <name val="Arial"/>
      <family val="2"/>
    </font>
    <font>
      <sz val="5.5"/>
      <name val="Arial"/>
      <family val="2"/>
    </font>
    <font>
      <vertAlign val="superscript"/>
      <sz val="6.5"/>
      <name val="Arial"/>
      <family val="2"/>
    </font>
    <font>
      <b/>
      <sz val="24"/>
      <color theme="1"/>
      <name val="Calibri"/>
      <family val="2"/>
      <scheme val="minor"/>
    </font>
    <font>
      <sz val="12"/>
      <color theme="1"/>
      <name val="Calibri"/>
      <family val="2"/>
      <scheme val="minor"/>
    </font>
    <font>
      <b/>
      <sz val="14"/>
      <name val="Calibri"/>
      <family val="2"/>
      <scheme val="minor"/>
    </font>
    <font>
      <sz val="11"/>
      <name val="Calibri"/>
      <family val="2"/>
      <scheme val="minor"/>
    </font>
    <font>
      <b/>
      <sz val="12"/>
      <color theme="1"/>
      <name val="Calibri"/>
      <family val="2"/>
      <scheme val="minor"/>
    </font>
    <font>
      <b/>
      <sz val="11"/>
      <name val="Calibri"/>
      <family val="2"/>
      <scheme val="minor"/>
    </font>
    <font>
      <b/>
      <sz val="11"/>
      <color theme="0"/>
      <name val="Calibri"/>
      <family val="2"/>
      <scheme val="minor"/>
    </font>
    <font>
      <b/>
      <sz val="11"/>
      <color rgb="FFFF0000"/>
      <name val="Calibri"/>
      <family val="2"/>
      <scheme val="minor"/>
    </font>
    <font>
      <vertAlign val="superscript"/>
      <sz val="11"/>
      <name val="Calibri"/>
      <family val="2"/>
      <scheme val="minor"/>
    </font>
    <font>
      <sz val="12"/>
      <color theme="1"/>
      <name val="Calibri"/>
      <family val="3"/>
      <charset val="134"/>
      <scheme val="minor"/>
    </font>
    <font>
      <b/>
      <sz val="12"/>
      <color theme="1"/>
      <name val="Calibri"/>
      <family val="3"/>
      <charset val="134"/>
      <scheme val="minor"/>
    </font>
    <font>
      <sz val="8"/>
      <color theme="1"/>
      <name val="Arial"/>
      <family val="2"/>
    </font>
    <font>
      <sz val="9"/>
      <color rgb="FF000000"/>
      <name val="Arial"/>
      <family val="2"/>
    </font>
    <font>
      <b/>
      <sz val="9"/>
      <color rgb="FF000000"/>
      <name val="Tahoma"/>
      <family val="2"/>
    </font>
    <font>
      <sz val="9"/>
      <color rgb="FF000000"/>
      <name val="Tahoma"/>
      <family val="2"/>
    </font>
    <font>
      <sz val="8"/>
      <name val="Calibri"/>
      <family val="2"/>
    </font>
    <font>
      <sz val="10"/>
      <color rgb="FF000000"/>
      <name val="Arial"/>
      <family val="2"/>
    </font>
    <font>
      <b/>
      <sz val="11"/>
      <color rgb="FF000000"/>
      <name val="Calibri"/>
      <family val="2"/>
      <scheme val="minor"/>
    </font>
    <font>
      <b/>
      <sz val="9"/>
      <color rgb="FF000000"/>
      <name val="宋体"/>
      <family val="3"/>
      <charset val="134"/>
    </font>
    <font>
      <sz val="9"/>
      <color rgb="FF000000"/>
      <name val="宋体"/>
      <family val="3"/>
      <charset val="134"/>
    </font>
  </fonts>
  <fills count="36">
    <fill>
      <patternFill patternType="none"/>
    </fill>
    <fill>
      <patternFill patternType="gray125"/>
    </fill>
    <fill>
      <patternFill patternType="solid">
        <fgColor rgb="FFD1E8FF"/>
      </patternFill>
    </fill>
    <fill>
      <patternFill patternType="solid">
        <fgColor rgb="FFD8FF69"/>
      </patternFill>
    </fill>
    <fill>
      <patternFill patternType="solid">
        <fgColor rgb="FFFFCD9A"/>
      </patternFill>
    </fill>
    <fill>
      <patternFill patternType="solid">
        <fgColor rgb="FFFFCC9A"/>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0D8F3"/>
        <bgColor indexed="64"/>
      </patternFill>
    </fill>
    <fill>
      <patternFill patternType="solid">
        <fgColor rgb="FFFCEAF4"/>
        <bgColor indexed="64"/>
      </patternFill>
    </fill>
    <fill>
      <patternFill patternType="solid">
        <fgColor rgb="FFFFFDEE"/>
        <bgColor indexed="64"/>
      </patternFill>
    </fill>
    <fill>
      <patternFill patternType="solid">
        <fgColor rgb="FFF3EAF5"/>
        <bgColor indexed="64"/>
      </patternFill>
    </fill>
    <fill>
      <patternFill patternType="solid">
        <fgColor rgb="FFCCCCCC"/>
        <bgColor indexed="64"/>
      </patternFill>
    </fill>
    <fill>
      <patternFill patternType="solid">
        <fgColor rgb="FFFFFFFF"/>
        <bgColor indexed="64"/>
      </patternFill>
    </fill>
    <fill>
      <patternFill patternType="solid">
        <fgColor rgb="FFDED7F4"/>
        <bgColor indexed="64"/>
      </patternFill>
    </fill>
    <fill>
      <patternFill patternType="solid">
        <fgColor rgb="FFFFFFCC"/>
      </patternFill>
    </fill>
    <fill>
      <patternFill patternType="solid">
        <fgColor rgb="FFFFD215"/>
      </patternFill>
    </fill>
    <fill>
      <patternFill patternType="solid">
        <fgColor rgb="FFBDDEFF"/>
      </patternFill>
    </fill>
    <fill>
      <patternFill patternType="solid">
        <fgColor rgb="FFFDD9BB"/>
      </patternFill>
    </fill>
    <fill>
      <patternFill patternType="solid">
        <fgColor rgb="FFFFFF65"/>
      </patternFill>
    </fill>
    <fill>
      <patternFill patternType="solid">
        <fgColor rgb="FFD9FFFF"/>
      </patternFill>
    </fill>
    <fill>
      <patternFill patternType="solid">
        <fgColor rgb="FFE0C1FF"/>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1"/>
        <bgColor indexed="64"/>
      </patternFill>
    </fill>
    <fill>
      <patternFill patternType="solid">
        <fgColor theme="4"/>
        <bgColor indexed="64"/>
      </patternFill>
    </fill>
    <fill>
      <patternFill patternType="solid">
        <fgColor rgb="FFF7CC9A"/>
        <bgColor indexed="64"/>
      </patternFill>
    </fill>
    <fill>
      <patternFill patternType="solid">
        <fgColor rgb="FFF6D218"/>
        <bgColor indexed="64"/>
      </patternFill>
    </fill>
    <fill>
      <patternFill patternType="solid">
        <fgColor theme="2"/>
        <bgColor indexed="64"/>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right/>
      <top/>
      <bottom style="mediumDashed">
        <color indexed="64"/>
      </bottom>
      <diagonal/>
    </border>
    <border>
      <left style="medium">
        <color rgb="FF666666"/>
      </left>
      <right/>
      <top style="medium">
        <color rgb="FF666666"/>
      </top>
      <bottom/>
      <diagonal/>
    </border>
    <border>
      <left/>
      <right/>
      <top style="medium">
        <color rgb="FF666666"/>
      </top>
      <bottom/>
      <diagonal/>
    </border>
    <border>
      <left/>
      <right style="medium">
        <color rgb="FF666666"/>
      </right>
      <top style="medium">
        <color rgb="FF666666"/>
      </top>
      <bottom/>
      <diagonal/>
    </border>
    <border>
      <left style="medium">
        <color rgb="FF666666"/>
      </left>
      <right/>
      <top style="medium">
        <color rgb="FF666666"/>
      </top>
      <bottom style="medium">
        <color rgb="FF666666"/>
      </bottom>
      <diagonal/>
    </border>
    <border>
      <left/>
      <right/>
      <top style="medium">
        <color rgb="FF666666"/>
      </top>
      <bottom style="medium">
        <color rgb="FF666666"/>
      </bottom>
      <diagonal/>
    </border>
    <border>
      <left/>
      <right style="medium">
        <color rgb="FF666666"/>
      </right>
      <top style="medium">
        <color rgb="FF666666"/>
      </top>
      <bottom style="medium">
        <color rgb="FF666666"/>
      </bottom>
      <diagonal/>
    </border>
    <border>
      <left style="medium">
        <color rgb="FF666666"/>
      </left>
      <right/>
      <top/>
      <bottom style="medium">
        <color rgb="FF666666"/>
      </bottom>
      <diagonal/>
    </border>
    <border>
      <left/>
      <right/>
      <top/>
      <bottom style="medium">
        <color rgb="FF666666"/>
      </bottom>
      <diagonal/>
    </border>
    <border>
      <left/>
      <right style="medium">
        <color rgb="FF666666"/>
      </right>
      <top/>
      <bottom style="medium">
        <color rgb="FF666666"/>
      </bottom>
      <diagonal/>
    </border>
    <border>
      <left style="medium">
        <color rgb="FF666666"/>
      </left>
      <right style="medium">
        <color rgb="FF666666"/>
      </right>
      <top style="medium">
        <color rgb="FF666666"/>
      </top>
      <bottom style="medium">
        <color rgb="FF666666"/>
      </bottom>
      <diagonal/>
    </border>
    <border>
      <left style="medium">
        <color rgb="FF666666"/>
      </left>
      <right/>
      <top/>
      <bottom/>
      <diagonal/>
    </border>
    <border>
      <left/>
      <right style="medium">
        <color rgb="FF666666"/>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style="thin">
        <color theme="0" tint="-4.9989318521683403E-2"/>
      </right>
      <top style="thin">
        <color auto="1"/>
      </top>
      <bottom/>
      <diagonal/>
    </border>
    <border>
      <left style="thin">
        <color theme="0" tint="-4.9989318521683403E-2"/>
      </left>
      <right/>
      <top style="thin">
        <color auto="1"/>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bottom style="thin">
        <color auto="1"/>
      </bottom>
      <diagonal/>
    </border>
    <border>
      <left style="thin">
        <color theme="0" tint="-4.9989318521683403E-2"/>
      </left>
      <right style="thin">
        <color indexed="64"/>
      </right>
      <top/>
      <bottom style="thin">
        <color indexed="64"/>
      </bottom>
      <diagonal/>
    </border>
    <border>
      <left style="thin">
        <color auto="1"/>
      </left>
      <right style="thin">
        <color theme="0" tint="-4.9989318521683403E-2"/>
      </right>
      <top/>
      <bottom style="thin">
        <color auto="1"/>
      </bottom>
      <diagonal/>
    </border>
    <border>
      <left style="thin">
        <color theme="0" tint="-4.9989318521683403E-2"/>
      </left>
      <right style="thin">
        <color indexed="64"/>
      </right>
      <top style="thin">
        <color indexed="64"/>
      </top>
      <bottom style="thin">
        <color indexed="64"/>
      </bottom>
      <diagonal/>
    </border>
    <border>
      <left/>
      <right style="thin">
        <color auto="1"/>
      </right>
      <top style="thin">
        <color auto="1"/>
      </top>
      <bottom style="thin">
        <color theme="0" tint="-4.9989318521683403E-2"/>
      </bottom>
      <diagonal/>
    </border>
    <border>
      <left style="thin">
        <color auto="1"/>
      </left>
      <right style="thin">
        <color auto="1"/>
      </right>
      <top/>
      <bottom style="thin">
        <color auto="1"/>
      </bottom>
      <diagonal/>
    </border>
    <border>
      <left style="thin">
        <color theme="0" tint="-4.9989318521683403E-2"/>
      </left>
      <right/>
      <top/>
      <bottom style="thin">
        <color auto="1"/>
      </bottom>
      <diagonal/>
    </border>
    <border>
      <left style="thin">
        <color theme="0" tint="-4.9989318521683403E-2"/>
      </left>
      <right style="thin">
        <color auto="1"/>
      </right>
      <top style="thin">
        <color theme="0" tint="-4.9989318521683403E-2"/>
      </top>
      <bottom style="thin">
        <color auto="1"/>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auto="1"/>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auto="1"/>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auto="1"/>
      </bottom>
      <diagonal/>
    </border>
    <border>
      <left style="thin">
        <color theme="0" tint="-4.9989318521683403E-2"/>
      </left>
      <right style="thin">
        <color theme="0" tint="-4.9989318521683403E-2"/>
      </right>
      <top style="thin">
        <color theme="0" tint="-4.9989318521683403E-2"/>
      </top>
      <bottom style="thin">
        <color auto="1"/>
      </bottom>
      <diagonal/>
    </border>
    <border>
      <left/>
      <right/>
      <top style="thin">
        <color indexed="64"/>
      </top>
      <bottom style="double">
        <color indexed="64"/>
      </bottom>
      <diagonal/>
    </border>
    <border>
      <left style="thin">
        <color auto="1"/>
      </left>
      <right style="thin">
        <color auto="1"/>
      </right>
      <top/>
      <bottom style="dashed">
        <color auto="1"/>
      </bottom>
      <diagonal/>
    </border>
    <border>
      <left style="thin">
        <color auto="1"/>
      </left>
      <right/>
      <top style="dashDotDot">
        <color auto="1"/>
      </top>
      <bottom style="thin">
        <color auto="1"/>
      </bottom>
      <diagonal/>
    </border>
    <border>
      <left/>
      <right/>
      <top style="dashDotDot">
        <color auto="1"/>
      </top>
      <bottom style="thin">
        <color auto="1"/>
      </bottom>
      <diagonal/>
    </border>
    <border>
      <left/>
      <right style="thin">
        <color auto="1"/>
      </right>
      <top style="dashDotDot">
        <color auto="1"/>
      </top>
      <bottom style="thin">
        <color auto="1"/>
      </bottom>
      <diagonal/>
    </border>
    <border>
      <left/>
      <right/>
      <top style="dashDotDot">
        <color auto="1"/>
      </top>
      <bottom/>
      <diagonal/>
    </border>
    <border>
      <left/>
      <right style="thin">
        <color auto="1"/>
      </right>
      <top style="dashDotDot">
        <color auto="1"/>
      </top>
      <bottom/>
      <diagonal/>
    </border>
    <border>
      <left style="thin">
        <color auto="1"/>
      </left>
      <right style="thin">
        <color auto="1"/>
      </right>
      <top style="dashDotDot">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style="thin">
        <color auto="1"/>
      </left>
      <right/>
      <top style="dashed">
        <color auto="1"/>
      </top>
      <bottom/>
      <diagonal/>
    </border>
    <border>
      <left/>
      <right/>
      <top style="dashed">
        <color auto="1"/>
      </top>
      <bottom/>
      <diagonal/>
    </border>
    <border>
      <left/>
      <right style="thin">
        <color auto="1"/>
      </right>
      <top style="dashed">
        <color auto="1"/>
      </top>
      <bottom/>
      <diagonal/>
    </border>
    <border>
      <left style="thin">
        <color auto="1"/>
      </left>
      <right style="thin">
        <color auto="1"/>
      </right>
      <top style="dashed">
        <color auto="1"/>
      </top>
      <bottom style="thin">
        <color auto="1"/>
      </bottom>
      <diagonal/>
    </border>
    <border>
      <left style="thin">
        <color rgb="FF000000"/>
      </left>
      <right style="thin">
        <color rgb="FF000000"/>
      </right>
      <top style="thin">
        <color rgb="FF000000"/>
      </top>
      <bottom/>
      <diagonal/>
    </border>
    <border>
      <left style="medium">
        <color indexed="64"/>
      </left>
      <right/>
      <top/>
      <bottom/>
      <diagonal/>
    </border>
    <border>
      <left style="medium">
        <color indexed="64"/>
      </left>
      <right/>
      <top/>
      <bottom style="medium">
        <color indexed="64"/>
      </bottom>
      <diagonal/>
    </border>
  </borders>
  <cellStyleXfs count="14">
    <xf numFmtId="0" fontId="0" fillId="0" borderId="0"/>
    <xf numFmtId="9" fontId="2" fillId="0" borderId="0" applyFont="0" applyFill="0" applyBorder="0" applyAlignment="0" applyProtection="0">
      <alignment vertical="center"/>
    </xf>
    <xf numFmtId="0" fontId="13" fillId="0" borderId="0" applyNumberFormat="0" applyFill="0" applyBorder="0" applyAlignment="0" applyProtection="0"/>
    <xf numFmtId="0" fontId="17" fillId="0" borderId="0"/>
    <xf numFmtId="0" fontId="18" fillId="0" borderId="0">
      <alignment vertical="center"/>
    </xf>
    <xf numFmtId="0" fontId="24" fillId="0" borderId="0" applyNumberFormat="0" applyFill="0" applyBorder="0" applyAlignment="0" applyProtection="0">
      <alignment vertical="top"/>
      <protection locked="0"/>
    </xf>
    <xf numFmtId="0" fontId="30" fillId="0" borderId="0">
      <alignment vertical="center"/>
    </xf>
    <xf numFmtId="0" fontId="1" fillId="0" borderId="0">
      <alignment vertical="center"/>
    </xf>
    <xf numFmtId="0" fontId="17"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cellStyleXfs>
  <cellXfs count="667">
    <xf numFmtId="0" fontId="0" fillId="0" borderId="0" xfId="0"/>
    <xf numFmtId="9" fontId="0" fillId="0" borderId="0" xfId="1" applyFont="1" applyAlignment="1"/>
    <xf numFmtId="0" fontId="0" fillId="0" borderId="1" xfId="0" applyBorder="1" applyAlignment="1">
      <alignment horizontal="left" vertical="top" wrapText="1" indent="1"/>
    </xf>
    <xf numFmtId="1" fontId="7" fillId="0" borderId="1" xfId="0" applyNumberFormat="1" applyFont="1" applyBorder="1" applyAlignment="1">
      <alignment horizontal="center" vertical="top" shrinkToFit="1"/>
    </xf>
    <xf numFmtId="9" fontId="7" fillId="2" borderId="4" xfId="0" applyNumberFormat="1" applyFont="1" applyFill="1" applyBorder="1" applyAlignment="1">
      <alignment horizontal="center" vertical="top" shrinkToFit="1"/>
    </xf>
    <xf numFmtId="9" fontId="7" fillId="3" borderId="4" xfId="0" applyNumberFormat="1" applyFont="1" applyFill="1" applyBorder="1" applyAlignment="1">
      <alignment horizontal="right" vertical="top" indent="1" shrinkToFit="1"/>
    </xf>
    <xf numFmtId="3" fontId="7" fillId="4" borderId="2" xfId="0" applyNumberFormat="1" applyFont="1" applyFill="1" applyBorder="1" applyAlignment="1">
      <alignment horizontal="right" vertical="top" indent="1" shrinkToFit="1"/>
    </xf>
    <xf numFmtId="0" fontId="0" fillId="0" borderId="2" xfId="0" applyBorder="1" applyAlignment="1">
      <alignment horizontal="center" vertical="top" wrapText="1"/>
    </xf>
    <xf numFmtId="3" fontId="7" fillId="2" borderId="2" xfId="0" applyNumberFormat="1" applyFont="1" applyFill="1" applyBorder="1" applyAlignment="1">
      <alignment vertical="top" shrinkToFit="1"/>
    </xf>
    <xf numFmtId="3" fontId="7" fillId="3" borderId="2" xfId="0" applyNumberFormat="1" applyFont="1" applyFill="1" applyBorder="1" applyAlignment="1">
      <alignment vertical="top" shrinkToFit="1"/>
    </xf>
    <xf numFmtId="9" fontId="7" fillId="4" borderId="3" xfId="0" applyNumberFormat="1" applyFont="1" applyFill="1" applyBorder="1" applyAlignment="1">
      <alignment vertical="top" shrinkToFit="1"/>
    </xf>
    <xf numFmtId="3" fontId="7" fillId="0" borderId="2" xfId="0" applyNumberFormat="1" applyFont="1" applyBorder="1" applyAlignment="1">
      <alignment vertical="top" shrinkToFit="1"/>
    </xf>
    <xf numFmtId="1" fontId="7" fillId="0" borderId="1" xfId="0" applyNumberFormat="1" applyFont="1" applyBorder="1" applyAlignment="1">
      <alignment horizontal="right" vertical="top" shrinkToFit="1"/>
    </xf>
    <xf numFmtId="9" fontId="7" fillId="2" borderId="4" xfId="0" applyNumberFormat="1" applyFont="1" applyFill="1" applyBorder="1" applyAlignment="1">
      <alignment horizontal="right" vertical="top" shrinkToFit="1"/>
    </xf>
    <xf numFmtId="3" fontId="7" fillId="5" borderId="2" xfId="0" applyNumberFormat="1" applyFont="1" applyFill="1" applyBorder="1" applyAlignment="1">
      <alignment horizontal="right" vertical="top" indent="1" shrinkToFit="1"/>
    </xf>
    <xf numFmtId="9" fontId="7" fillId="5" borderId="3" xfId="0" applyNumberFormat="1" applyFont="1" applyFill="1" applyBorder="1" applyAlignment="1">
      <alignment vertical="top" shrinkToFit="1"/>
    </xf>
    <xf numFmtId="1" fontId="7" fillId="3" borderId="2" xfId="0" applyNumberFormat="1" applyFont="1" applyFill="1" applyBorder="1" applyAlignment="1">
      <alignment vertical="top" shrinkToFit="1"/>
    </xf>
    <xf numFmtId="9" fontId="0" fillId="0" borderId="0" xfId="0" applyNumberFormat="1"/>
    <xf numFmtId="0" fontId="8" fillId="0" borderId="0" xfId="0" applyFont="1"/>
    <xf numFmtId="0" fontId="0" fillId="6" borderId="0" xfId="0" applyFill="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9" xfId="0" applyNumberFormat="1" applyBorder="1"/>
    <xf numFmtId="0" fontId="0" fillId="0" borderId="10" xfId="0" applyBorder="1"/>
    <xf numFmtId="0" fontId="0" fillId="0" borderId="11" xfId="0" applyBorder="1"/>
    <xf numFmtId="9" fontId="0" fillId="0" borderId="11" xfId="0" applyNumberFormat="1" applyBorder="1"/>
    <xf numFmtId="9" fontId="0" fillId="0" borderId="12" xfId="0" applyNumberFormat="1" applyBorder="1"/>
    <xf numFmtId="9" fontId="0" fillId="6" borderId="0" xfId="0" applyNumberFormat="1" applyFill="1"/>
    <xf numFmtId="9" fontId="0" fillId="6" borderId="9" xfId="0" applyNumberFormat="1" applyFill="1" applyBorder="1"/>
    <xf numFmtId="0" fontId="0" fillId="6" borderId="5" xfId="0" applyFill="1" applyBorder="1"/>
    <xf numFmtId="0" fontId="0" fillId="6" borderId="6" xfId="0" applyFill="1" applyBorder="1"/>
    <xf numFmtId="9" fontId="0" fillId="6" borderId="6" xfId="0" applyNumberFormat="1" applyFill="1" applyBorder="1"/>
    <xf numFmtId="9" fontId="0" fillId="6" borderId="7" xfId="0" applyNumberFormat="1" applyFill="1" applyBorder="1"/>
    <xf numFmtId="0" fontId="0" fillId="6" borderId="7" xfId="0" applyFill="1" applyBorder="1"/>
    <xf numFmtId="0" fontId="9" fillId="0" borderId="5" xfId="0" applyFont="1" applyBorder="1"/>
    <xf numFmtId="0" fontId="10" fillId="0" borderId="6" xfId="0" applyFont="1" applyBorder="1"/>
    <xf numFmtId="0" fontId="10" fillId="0" borderId="7" xfId="0" applyFont="1" applyBorder="1"/>
    <xf numFmtId="0" fontId="10" fillId="0" borderId="8" xfId="0" applyFont="1" applyBorder="1"/>
    <xf numFmtId="0" fontId="10" fillId="0" borderId="0" xfId="0" applyFont="1"/>
    <xf numFmtId="0" fontId="10" fillId="0" borderId="9" xfId="0" applyFont="1" applyBorder="1"/>
    <xf numFmtId="168" fontId="10" fillId="0" borderId="0" xfId="0" applyNumberFormat="1" applyFont="1"/>
    <xf numFmtId="168" fontId="10" fillId="0" borderId="9" xfId="0" applyNumberFormat="1" applyFont="1" applyBorder="1"/>
    <xf numFmtId="168" fontId="10" fillId="6" borderId="0" xfId="0" applyNumberFormat="1" applyFont="1" applyFill="1"/>
    <xf numFmtId="168" fontId="10" fillId="6" borderId="9" xfId="0" applyNumberFormat="1" applyFont="1" applyFill="1" applyBorder="1"/>
    <xf numFmtId="0" fontId="10" fillId="0" borderId="10" xfId="0" applyFont="1" applyBorder="1"/>
    <xf numFmtId="168" fontId="0" fillId="0" borderId="0" xfId="1" applyNumberFormat="1" applyFont="1" applyBorder="1" applyAlignment="1"/>
    <xf numFmtId="168" fontId="0" fillId="0" borderId="11" xfId="1" applyNumberFormat="1" applyFont="1" applyBorder="1" applyAlignment="1"/>
    <xf numFmtId="0" fontId="0" fillId="6" borderId="9" xfId="0" applyFill="1" applyBorder="1"/>
    <xf numFmtId="168" fontId="0" fillId="6" borderId="0" xfId="1" applyNumberFormat="1" applyFont="1" applyFill="1" applyBorder="1" applyAlignment="1"/>
    <xf numFmtId="168" fontId="0" fillId="6" borderId="9" xfId="1" applyNumberFormat="1" applyFont="1" applyFill="1" applyBorder="1" applyAlignment="1"/>
    <xf numFmtId="0" fontId="11" fillId="0" borderId="0" xfId="0" applyFont="1"/>
    <xf numFmtId="0" fontId="12" fillId="0" borderId="0" xfId="0" applyFont="1"/>
    <xf numFmtId="169" fontId="0" fillId="0" borderId="0" xfId="0" applyNumberFormat="1"/>
    <xf numFmtId="1" fontId="0" fillId="0" borderId="0" xfId="0" applyNumberFormat="1"/>
    <xf numFmtId="1" fontId="0" fillId="6" borderId="0" xfId="0" applyNumberFormat="1" applyFill="1"/>
    <xf numFmtId="0" fontId="0" fillId="7" borderId="0" xfId="0" applyFill="1"/>
    <xf numFmtId="0" fontId="8" fillId="8" borderId="0" xfId="0" applyFont="1" applyFill="1"/>
    <xf numFmtId="0" fontId="0" fillId="0" borderId="0" xfId="0" applyAlignment="1">
      <alignment horizontal="left"/>
    </xf>
    <xf numFmtId="0" fontId="13" fillId="0" borderId="0" xfId="2"/>
    <xf numFmtId="0" fontId="0" fillId="9" borderId="0" xfId="0" applyFill="1"/>
    <xf numFmtId="0" fontId="0" fillId="10" borderId="0" xfId="0" applyFill="1"/>
    <xf numFmtId="169" fontId="0" fillId="9" borderId="0" xfId="0" applyNumberFormat="1" applyFill="1"/>
    <xf numFmtId="169" fontId="0" fillId="12" borderId="0" xfId="0" applyNumberFormat="1" applyFill="1"/>
    <xf numFmtId="0" fontId="0" fillId="12" borderId="0" xfId="0" applyFill="1"/>
    <xf numFmtId="0" fontId="19" fillId="0" borderId="0" xfId="4" applyFont="1">
      <alignment vertical="center"/>
    </xf>
    <xf numFmtId="0" fontId="22" fillId="0" borderId="0" xfId="4" applyFont="1">
      <alignment vertical="center"/>
    </xf>
    <xf numFmtId="0" fontId="23" fillId="0" borderId="0" xfId="4" applyFont="1">
      <alignment vertical="center"/>
    </xf>
    <xf numFmtId="0" fontId="25" fillId="0" borderId="0" xfId="4" applyFont="1">
      <alignment vertical="center"/>
    </xf>
    <xf numFmtId="0" fontId="26" fillId="0" borderId="13" xfId="4" applyFont="1" applyBorder="1" applyAlignment="1">
      <alignment horizontal="left" vertical="center" wrapText="1"/>
    </xf>
    <xf numFmtId="0" fontId="26" fillId="0" borderId="13" xfId="4" applyFont="1" applyBorder="1" applyAlignment="1">
      <alignment horizontal="center" vertical="center" wrapText="1"/>
    </xf>
    <xf numFmtId="0" fontId="26" fillId="0" borderId="0" xfId="4" applyFont="1" applyAlignment="1">
      <alignment horizontal="left" vertical="center" wrapText="1"/>
    </xf>
    <xf numFmtId="0" fontId="26" fillId="0" borderId="0" xfId="4" applyFont="1" applyAlignment="1">
      <alignment horizontal="center" vertical="center" wrapText="1"/>
    </xf>
    <xf numFmtId="0" fontId="23" fillId="0" borderId="14" xfId="4" applyFont="1" applyBorder="1" applyAlignment="1">
      <alignment horizontal="left" vertical="top" wrapText="1"/>
    </xf>
    <xf numFmtId="0" fontId="23" fillId="0" borderId="14" xfId="4" applyFont="1" applyBorder="1" applyAlignment="1">
      <alignment vertical="top" wrapText="1"/>
    </xf>
    <xf numFmtId="0" fontId="26" fillId="0" borderId="14" xfId="4" applyFont="1" applyBorder="1" applyAlignment="1">
      <alignment horizontal="center" vertical="center" wrapText="1"/>
    </xf>
    <xf numFmtId="0" fontId="26" fillId="0" borderId="0" xfId="4" applyFont="1" applyAlignment="1">
      <alignment horizontal="left" vertical="center"/>
    </xf>
    <xf numFmtId="171" fontId="26" fillId="0" borderId="0" xfId="4" applyNumberFormat="1" applyFont="1" applyAlignment="1">
      <alignment horizontal="center" vertical="center"/>
    </xf>
    <xf numFmtId="169" fontId="26" fillId="0" borderId="0" xfId="4" applyNumberFormat="1" applyFont="1" applyAlignment="1">
      <alignment horizontal="center" vertical="center"/>
    </xf>
    <xf numFmtId="1" fontId="23" fillId="0" borderId="0" xfId="4" applyNumberFormat="1" applyFont="1">
      <alignment vertical="center"/>
    </xf>
    <xf numFmtId="0" fontId="26" fillId="0" borderId="15" xfId="4" applyFont="1" applyBorder="1" applyAlignment="1">
      <alignment horizontal="left" vertical="center"/>
    </xf>
    <xf numFmtId="171" fontId="26" fillId="0" borderId="15" xfId="4" applyNumberFormat="1" applyFont="1" applyBorder="1" applyAlignment="1">
      <alignment horizontal="center" vertical="center"/>
    </xf>
    <xf numFmtId="171" fontId="26" fillId="0" borderId="15" xfId="4" quotePrefix="1" applyNumberFormat="1" applyFont="1" applyBorder="1" applyAlignment="1">
      <alignment horizontal="center" vertical="center"/>
    </xf>
    <xf numFmtId="169" fontId="26" fillId="0" borderId="15" xfId="4" applyNumberFormat="1" applyFont="1" applyBorder="1" applyAlignment="1">
      <alignment horizontal="center" vertical="center"/>
    </xf>
    <xf numFmtId="0" fontId="26" fillId="0" borderId="14" xfId="4" applyFont="1" applyBorder="1" applyAlignment="1">
      <alignment horizontal="left" vertical="center"/>
    </xf>
    <xf numFmtId="171" fontId="26" fillId="0" borderId="14" xfId="4" applyNumberFormat="1" applyFont="1" applyBorder="1" applyAlignment="1">
      <alignment horizontal="center" vertical="center"/>
    </xf>
    <xf numFmtId="169" fontId="26" fillId="0" borderId="14" xfId="4" applyNumberFormat="1" applyFont="1" applyBorder="1" applyAlignment="1">
      <alignment horizontal="center" vertical="center"/>
    </xf>
    <xf numFmtId="0" fontId="28" fillId="0" borderId="0" xfId="4" applyFont="1" applyAlignment="1">
      <alignment vertical="top"/>
    </xf>
    <xf numFmtId="0" fontId="29" fillId="0" borderId="0" xfId="4" applyFont="1" applyAlignment="1">
      <alignment vertical="top"/>
    </xf>
    <xf numFmtId="0" fontId="23" fillId="0" borderId="0" xfId="4" applyFont="1" applyAlignment="1">
      <alignment vertical="top"/>
    </xf>
    <xf numFmtId="2" fontId="0" fillId="12" borderId="0" xfId="0" applyNumberFormat="1" applyFill="1"/>
    <xf numFmtId="2" fontId="0" fillId="9" borderId="0" xfId="0" applyNumberFormat="1" applyFill="1"/>
    <xf numFmtId="0" fontId="17" fillId="0" borderId="0" xfId="3" applyAlignment="1">
      <alignment wrapText="1"/>
    </xf>
    <xf numFmtId="170" fontId="16" fillId="0" borderId="0" xfId="3" applyNumberFormat="1" applyFont="1" applyAlignment="1">
      <alignment horizontal="right" wrapText="1"/>
    </xf>
    <xf numFmtId="0" fontId="16" fillId="0" borderId="0" xfId="3" applyFont="1" applyAlignment="1">
      <alignment vertical="top" wrapText="1"/>
    </xf>
    <xf numFmtId="0" fontId="17" fillId="0" borderId="0" xfId="3"/>
    <xf numFmtId="0" fontId="0" fillId="11" borderId="0" xfId="0" applyFill="1"/>
    <xf numFmtId="0" fontId="16" fillId="0" borderId="0" xfId="3" applyFont="1" applyAlignment="1">
      <alignment horizontal="left" vertical="top" wrapText="1"/>
    </xf>
    <xf numFmtId="0" fontId="16" fillId="0" borderId="0" xfId="3" applyFont="1" applyAlignment="1">
      <alignment horizontal="right" wrapText="1"/>
    </xf>
    <xf numFmtId="168" fontId="0" fillId="0" borderId="0" xfId="1" applyNumberFormat="1" applyFont="1" applyAlignment="1"/>
    <xf numFmtId="2" fontId="0" fillId="0" borderId="0" xfId="0" applyNumberFormat="1"/>
    <xf numFmtId="0" fontId="31" fillId="11" borderId="0" xfId="0" applyFont="1" applyFill="1"/>
    <xf numFmtId="0" fontId="32" fillId="0" borderId="0" xfId="0" applyFont="1"/>
    <xf numFmtId="0" fontId="33" fillId="0" borderId="0" xfId="0" applyFont="1"/>
    <xf numFmtId="0" fontId="34" fillId="0" borderId="0" xfId="0" applyFont="1"/>
    <xf numFmtId="0" fontId="12" fillId="0" borderId="8" xfId="0" applyFont="1" applyBorder="1"/>
    <xf numFmtId="0" fontId="12" fillId="7" borderId="0" xfId="0" applyFont="1" applyFill="1"/>
    <xf numFmtId="0" fontId="35" fillId="0" borderId="0" xfId="0" applyFont="1"/>
    <xf numFmtId="0" fontId="38" fillId="11" borderId="0" xfId="0" applyFont="1" applyFill="1"/>
    <xf numFmtId="9" fontId="0" fillId="0" borderId="0" xfId="1" applyFont="1" applyBorder="1" applyAlignment="1"/>
    <xf numFmtId="9" fontId="0" fillId="0" borderId="11" xfId="1" applyFont="1" applyBorder="1" applyAlignment="1"/>
    <xf numFmtId="1" fontId="0" fillId="7" borderId="0" xfId="0" applyNumberFormat="1" applyFill="1"/>
    <xf numFmtId="1" fontId="0" fillId="7" borderId="9" xfId="0" applyNumberFormat="1" applyFill="1" applyBorder="1"/>
    <xf numFmtId="1" fontId="0" fillId="7" borderId="11" xfId="0" applyNumberFormat="1" applyFill="1" applyBorder="1"/>
    <xf numFmtId="3" fontId="7" fillId="2" borderId="0" xfId="0" applyNumberFormat="1" applyFont="1" applyFill="1" applyAlignment="1">
      <alignment vertical="top" shrinkToFit="1"/>
    </xf>
    <xf numFmtId="9" fontId="7" fillId="2" borderId="0" xfId="0" applyNumberFormat="1" applyFont="1" applyFill="1" applyAlignment="1">
      <alignment horizontal="right" vertical="top" shrinkToFit="1"/>
    </xf>
    <xf numFmtId="1" fontId="7" fillId="3" borderId="0" xfId="0" applyNumberFormat="1" applyFont="1" applyFill="1" applyAlignment="1">
      <alignment vertical="top" shrinkToFit="1"/>
    </xf>
    <xf numFmtId="9" fontId="7" fillId="3" borderId="0" xfId="0" applyNumberFormat="1" applyFont="1" applyFill="1" applyAlignment="1">
      <alignment horizontal="right" vertical="top" indent="1" shrinkToFit="1"/>
    </xf>
    <xf numFmtId="3" fontId="7" fillId="5" borderId="0" xfId="0" applyNumberFormat="1" applyFont="1" applyFill="1" applyAlignment="1">
      <alignment horizontal="right" vertical="top" indent="1" shrinkToFit="1"/>
    </xf>
    <xf numFmtId="9" fontId="7" fillId="5" borderId="0" xfId="0" applyNumberFormat="1" applyFont="1" applyFill="1" applyAlignment="1">
      <alignment vertical="top" shrinkToFit="1"/>
    </xf>
    <xf numFmtId="0" fontId="0" fillId="0" borderId="8" xfId="0" applyBorder="1" applyAlignment="1">
      <alignment horizontal="left" vertical="top" wrapText="1" indent="1"/>
    </xf>
    <xf numFmtId="0" fontId="0" fillId="0" borderId="9" xfId="0" applyBorder="1" applyAlignment="1">
      <alignment horizontal="center" vertical="top" wrapText="1"/>
    </xf>
    <xf numFmtId="1" fontId="7" fillId="0" borderId="8" xfId="0" applyNumberFormat="1" applyFont="1" applyBorder="1" applyAlignment="1">
      <alignment horizontal="right" vertical="top" shrinkToFit="1"/>
    </xf>
    <xf numFmtId="3" fontId="7" fillId="0" borderId="9" xfId="0" applyNumberFormat="1" applyFont="1" applyBorder="1" applyAlignment="1">
      <alignment vertical="top" shrinkToFit="1"/>
    </xf>
    <xf numFmtId="1" fontId="0" fillId="0" borderId="9" xfId="0" applyNumberFormat="1" applyBorder="1"/>
    <xf numFmtId="1" fontId="7" fillId="0" borderId="10" xfId="0" applyNumberFormat="1" applyFont="1" applyBorder="1" applyAlignment="1">
      <alignment horizontal="right" vertical="top" shrinkToFit="1"/>
    </xf>
    <xf numFmtId="1" fontId="0" fillId="0" borderId="11" xfId="0" applyNumberFormat="1" applyBorder="1"/>
    <xf numFmtId="1" fontId="0" fillId="0" borderId="12" xfId="0" applyNumberFormat="1" applyBorder="1"/>
    <xf numFmtId="9" fontId="7" fillId="2" borderId="0" xfId="0" applyNumberFormat="1" applyFont="1" applyFill="1" applyAlignment="1">
      <alignment horizontal="center" vertical="top" shrinkToFit="1"/>
    </xf>
    <xf numFmtId="3" fontId="7" fillId="3" borderId="0" xfId="0" applyNumberFormat="1" applyFont="1" applyFill="1" applyAlignment="1">
      <alignment vertical="top" shrinkToFit="1"/>
    </xf>
    <xf numFmtId="3" fontId="7" fillId="4" borderId="0" xfId="0" applyNumberFormat="1" applyFont="1" applyFill="1" applyAlignment="1">
      <alignment horizontal="right" vertical="top" indent="1" shrinkToFit="1"/>
    </xf>
    <xf numFmtId="9" fontId="7" fillId="4" borderId="0" xfId="0" applyNumberFormat="1" applyFont="1" applyFill="1" applyAlignment="1">
      <alignment vertical="top" shrinkToFit="1"/>
    </xf>
    <xf numFmtId="1" fontId="7" fillId="0" borderId="8" xfId="0" applyNumberFormat="1" applyFont="1" applyBorder="1" applyAlignment="1">
      <alignment horizontal="center" vertical="top" shrinkToFit="1"/>
    </xf>
    <xf numFmtId="1" fontId="7" fillId="0" borderId="10" xfId="0" applyNumberFormat="1" applyFont="1" applyBorder="1" applyAlignment="1">
      <alignment horizontal="center" vertical="top" shrinkToFit="1"/>
    </xf>
    <xf numFmtId="49" fontId="39" fillId="14" borderId="25" xfId="0" applyNumberFormat="1" applyFont="1" applyFill="1" applyBorder="1" applyAlignment="1">
      <alignment horizontal="center" vertical="center" wrapText="1"/>
    </xf>
    <xf numFmtId="49" fontId="39" fillId="15" borderId="25" xfId="0" applyNumberFormat="1" applyFont="1" applyFill="1" applyBorder="1" applyAlignment="1">
      <alignment horizontal="center" vertical="center" wrapText="1"/>
    </xf>
    <xf numFmtId="49" fontId="39" fillId="16" borderId="25" xfId="0" applyNumberFormat="1" applyFont="1" applyFill="1" applyBorder="1" applyAlignment="1">
      <alignment horizontal="left" vertical="center" wrapText="1"/>
    </xf>
    <xf numFmtId="0" fontId="42" fillId="18" borderId="25" xfId="0" applyFont="1" applyFill="1" applyBorder="1" applyAlignment="1">
      <alignment horizontal="right"/>
    </xf>
    <xf numFmtId="0" fontId="39" fillId="15" borderId="25" xfId="0" applyFont="1" applyFill="1" applyBorder="1" applyAlignment="1">
      <alignment horizontal="right"/>
    </xf>
    <xf numFmtId="49" fontId="43" fillId="19" borderId="25" xfId="0" applyNumberFormat="1" applyFont="1" applyFill="1" applyBorder="1" applyAlignment="1">
      <alignment horizontal="left" vertical="center" wrapText="1"/>
    </xf>
    <xf numFmtId="0" fontId="44" fillId="0" borderId="0" xfId="0" applyFont="1" applyAlignment="1">
      <alignment wrapText="1"/>
    </xf>
    <xf numFmtId="49" fontId="44" fillId="0" borderId="0" xfId="0" applyNumberFormat="1" applyFont="1" applyAlignment="1">
      <alignment horizontal="left" vertical="top" wrapText="1"/>
    </xf>
    <xf numFmtId="0" fontId="45" fillId="0" borderId="0" xfId="0" applyFont="1"/>
    <xf numFmtId="0" fontId="46" fillId="0" borderId="0" xfId="0" applyFont="1"/>
    <xf numFmtId="0" fontId="12" fillId="0" borderId="5" xfId="0" applyFont="1" applyBorder="1"/>
    <xf numFmtId="9" fontId="0" fillId="0" borderId="9" xfId="1" applyFont="1" applyBorder="1" applyAlignment="1"/>
    <xf numFmtId="9" fontId="12" fillId="0" borderId="5" xfId="1" applyFont="1" applyBorder="1" applyAlignment="1"/>
    <xf numFmtId="9" fontId="0" fillId="0" borderId="6" xfId="1" applyFont="1" applyBorder="1" applyAlignment="1"/>
    <xf numFmtId="9" fontId="0" fillId="0" borderId="7" xfId="1" applyFont="1" applyBorder="1" applyAlignment="1"/>
    <xf numFmtId="9" fontId="0" fillId="0" borderId="8" xfId="1" applyFont="1" applyBorder="1" applyAlignment="1"/>
    <xf numFmtId="172" fontId="0" fillId="0" borderId="8" xfId="1" applyNumberFormat="1" applyFont="1" applyBorder="1" applyAlignment="1"/>
    <xf numFmtId="172" fontId="0" fillId="0" borderId="10" xfId="1" applyNumberFormat="1" applyFont="1" applyBorder="1" applyAlignment="1"/>
    <xf numFmtId="1" fontId="0" fillId="9" borderId="0" xfId="0" applyNumberFormat="1" applyFill="1"/>
    <xf numFmtId="0" fontId="8" fillId="7" borderId="0" xfId="0" applyFont="1" applyFill="1"/>
    <xf numFmtId="11" fontId="0" fillId="0" borderId="0" xfId="0" applyNumberFormat="1"/>
    <xf numFmtId="0" fontId="49" fillId="0" borderId="0" xfId="0" applyFont="1"/>
    <xf numFmtId="167" fontId="50" fillId="0" borderId="0" xfId="1" applyNumberFormat="1" applyFont="1" applyAlignment="1"/>
    <xf numFmtId="167" fontId="12" fillId="0" borderId="0" xfId="0" applyNumberFormat="1" applyFont="1"/>
    <xf numFmtId="167" fontId="11" fillId="0" borderId="0" xfId="0" applyNumberFormat="1" applyFont="1"/>
    <xf numFmtId="167" fontId="0" fillId="9" borderId="0" xfId="0" applyNumberFormat="1" applyFill="1"/>
    <xf numFmtId="167" fontId="0" fillId="12" borderId="0" xfId="0" applyNumberFormat="1" applyFill="1"/>
    <xf numFmtId="167" fontId="0" fillId="0" borderId="0" xfId="0" applyNumberFormat="1"/>
    <xf numFmtId="172" fontId="12" fillId="0" borderId="0" xfId="0" applyNumberFormat="1" applyFont="1"/>
    <xf numFmtId="0" fontId="0" fillId="0" borderId="0" xfId="0" applyAlignment="1">
      <alignment wrapText="1"/>
    </xf>
    <xf numFmtId="0" fontId="52" fillId="0" borderId="0" xfId="0" applyFont="1"/>
    <xf numFmtId="0" fontId="12" fillId="6" borderId="0" xfId="0" applyFont="1" applyFill="1"/>
    <xf numFmtId="0" fontId="12" fillId="0" borderId="0" xfId="0" applyFont="1" applyAlignment="1">
      <alignment horizontal="center"/>
    </xf>
    <xf numFmtId="0" fontId="12" fillId="9" borderId="0" xfId="0" applyFont="1" applyFill="1"/>
    <xf numFmtId="0" fontId="0" fillId="21" borderId="1" xfId="0" applyFill="1" applyBorder="1" applyAlignment="1">
      <alignment horizontal="center" vertical="top" wrapText="1"/>
    </xf>
    <xf numFmtId="0" fontId="0" fillId="22" borderId="1" xfId="0" applyFill="1" applyBorder="1" applyAlignment="1">
      <alignment horizontal="center" vertical="top" wrapText="1"/>
    </xf>
    <xf numFmtId="0" fontId="0" fillId="23" borderId="1" xfId="0" applyFill="1" applyBorder="1" applyAlignment="1">
      <alignment horizontal="center" vertical="top" wrapText="1"/>
    </xf>
    <xf numFmtId="0" fontId="0" fillId="24" borderId="1" xfId="0" applyFill="1" applyBorder="1" applyAlignment="1">
      <alignment horizontal="left" vertical="top" wrapText="1" indent="1"/>
    </xf>
    <xf numFmtId="0" fontId="0" fillId="25" borderId="1" xfId="0" applyFill="1" applyBorder="1" applyAlignment="1">
      <alignment horizontal="center" vertical="top" wrapText="1"/>
    </xf>
    <xf numFmtId="0" fontId="0" fillId="20" borderId="1" xfId="0" applyFill="1" applyBorder="1" applyAlignment="1">
      <alignment horizontal="center" vertical="top" wrapText="1"/>
    </xf>
    <xf numFmtId="0" fontId="0" fillId="26" borderId="1" xfId="0" applyFill="1" applyBorder="1" applyAlignment="1">
      <alignment horizontal="left" vertical="top" wrapText="1" indent="1"/>
    </xf>
    <xf numFmtId="0" fontId="0" fillId="0" borderId="1" xfId="0" applyBorder="1" applyAlignment="1">
      <alignment horizontal="left" vertical="top" wrapText="1" indent="2"/>
    </xf>
    <xf numFmtId="3" fontId="7" fillId="21" borderId="1" xfId="0" applyNumberFormat="1" applyFont="1" applyFill="1" applyBorder="1" applyAlignment="1">
      <alignment horizontal="left" vertical="top" indent="1" shrinkToFit="1"/>
    </xf>
    <xf numFmtId="3" fontId="7" fillId="22" borderId="1" xfId="0" applyNumberFormat="1" applyFont="1" applyFill="1" applyBorder="1" applyAlignment="1">
      <alignment horizontal="center" vertical="top" shrinkToFit="1"/>
    </xf>
    <xf numFmtId="3" fontId="7" fillId="23" borderId="1" xfId="0" applyNumberFormat="1" applyFont="1" applyFill="1" applyBorder="1" applyAlignment="1">
      <alignment horizontal="center" vertical="top" shrinkToFit="1"/>
    </xf>
    <xf numFmtId="3" fontId="7" fillId="24" borderId="1" xfId="0" applyNumberFormat="1" applyFont="1" applyFill="1" applyBorder="1" applyAlignment="1">
      <alignment horizontal="center" vertical="top" shrinkToFit="1"/>
    </xf>
    <xf numFmtId="3" fontId="7" fillId="25" borderId="1" xfId="0" applyNumberFormat="1" applyFont="1" applyFill="1" applyBorder="1" applyAlignment="1">
      <alignment horizontal="center" vertical="top" shrinkToFit="1"/>
    </xf>
    <xf numFmtId="3" fontId="7" fillId="20" borderId="1" xfId="0" applyNumberFormat="1" applyFont="1" applyFill="1" applyBorder="1" applyAlignment="1">
      <alignment horizontal="center" vertical="top" shrinkToFit="1"/>
    </xf>
    <xf numFmtId="1" fontId="7" fillId="26" borderId="1" xfId="0" applyNumberFormat="1" applyFont="1" applyFill="1" applyBorder="1" applyAlignment="1">
      <alignment horizontal="center" vertical="top" shrinkToFit="1"/>
    </xf>
    <xf numFmtId="3" fontId="7" fillId="0" borderId="1" xfId="0" applyNumberFormat="1" applyFont="1" applyBorder="1" applyAlignment="1">
      <alignment horizontal="center" vertical="top" shrinkToFit="1"/>
    </xf>
    <xf numFmtId="1" fontId="7" fillId="24" borderId="1" xfId="0" applyNumberFormat="1" applyFont="1" applyFill="1" applyBorder="1" applyAlignment="1">
      <alignment horizontal="center" vertical="top" shrinkToFit="1"/>
    </xf>
    <xf numFmtId="3" fontId="7" fillId="26" borderId="1" xfId="0" applyNumberFormat="1" applyFont="1" applyFill="1" applyBorder="1" applyAlignment="1">
      <alignment horizontal="center" vertical="top" shrinkToFit="1"/>
    </xf>
    <xf numFmtId="3" fontId="7" fillId="21" borderId="1" xfId="0" applyNumberFormat="1" applyFont="1" applyFill="1" applyBorder="1" applyAlignment="1">
      <alignment horizontal="center" vertical="top" shrinkToFit="1"/>
    </xf>
    <xf numFmtId="3" fontId="7" fillId="22" borderId="1" xfId="0" applyNumberFormat="1" applyFont="1" applyFill="1" applyBorder="1" applyAlignment="1">
      <alignment horizontal="right" vertical="top" indent="1" shrinkToFit="1"/>
    </xf>
    <xf numFmtId="1" fontId="7" fillId="24" borderId="1" xfId="0" applyNumberFormat="1" applyFont="1" applyFill="1" applyBorder="1" applyAlignment="1">
      <alignment horizontal="right" vertical="top" indent="1" shrinkToFit="1"/>
    </xf>
    <xf numFmtId="1" fontId="7" fillId="25" borderId="1" xfId="0" applyNumberFormat="1" applyFont="1" applyFill="1" applyBorder="1" applyAlignment="1">
      <alignment horizontal="center" vertical="top" shrinkToFit="1"/>
    </xf>
    <xf numFmtId="1" fontId="7" fillId="20" borderId="1" xfId="0" applyNumberFormat="1" applyFont="1" applyFill="1" applyBorder="1" applyAlignment="1">
      <alignment horizontal="right" vertical="top" indent="1" shrinkToFit="1"/>
    </xf>
    <xf numFmtId="3" fontId="7" fillId="20" borderId="1" xfId="0" applyNumberFormat="1" applyFont="1" applyFill="1" applyBorder="1" applyAlignment="1">
      <alignment horizontal="right" vertical="top" indent="1" shrinkToFit="1"/>
    </xf>
    <xf numFmtId="3" fontId="7" fillId="24" borderId="1" xfId="0" applyNumberFormat="1" applyFont="1" applyFill="1" applyBorder="1" applyAlignment="1">
      <alignment horizontal="right" vertical="top" indent="1" shrinkToFit="1"/>
    </xf>
    <xf numFmtId="0" fontId="12" fillId="11" borderId="8" xfId="0" applyFont="1" applyFill="1" applyBorder="1"/>
    <xf numFmtId="9" fontId="7" fillId="21" borderId="1" xfId="1" applyFont="1" applyFill="1" applyBorder="1" applyAlignment="1">
      <alignment horizontal="left" vertical="top" indent="1" shrinkToFit="1"/>
    </xf>
    <xf numFmtId="9" fontId="7" fillId="22" borderId="1" xfId="1" applyFont="1" applyFill="1" applyBorder="1" applyAlignment="1">
      <alignment horizontal="center" vertical="top" shrinkToFit="1"/>
    </xf>
    <xf numFmtId="9" fontId="7" fillId="23" borderId="1" xfId="1" applyFont="1" applyFill="1" applyBorder="1" applyAlignment="1">
      <alignment horizontal="center" vertical="top" shrinkToFit="1"/>
    </xf>
    <xf numFmtId="9" fontId="7" fillId="24" borderId="1" xfId="1" applyFont="1" applyFill="1" applyBorder="1" applyAlignment="1">
      <alignment horizontal="right" vertical="top" indent="1" shrinkToFit="1"/>
    </xf>
    <xf numFmtId="9" fontId="7" fillId="25" borderId="1" xfId="1" applyFont="1" applyFill="1" applyBorder="1" applyAlignment="1">
      <alignment horizontal="center" vertical="top" shrinkToFit="1"/>
    </xf>
    <xf numFmtId="9" fontId="7" fillId="20" borderId="1" xfId="1" applyFont="1" applyFill="1" applyBorder="1" applyAlignment="1">
      <alignment horizontal="center" vertical="top" shrinkToFit="1"/>
    </xf>
    <xf numFmtId="9" fontId="7" fillId="26" borderId="1" xfId="1" applyFont="1" applyFill="1" applyBorder="1" applyAlignment="1">
      <alignment horizontal="center" vertical="top" shrinkToFit="1"/>
    </xf>
    <xf numFmtId="9" fontId="7" fillId="0" borderId="1" xfId="1" applyFont="1" applyFill="1" applyBorder="1" applyAlignment="1">
      <alignment horizontal="center" vertical="top" shrinkToFit="1"/>
    </xf>
    <xf numFmtId="1" fontId="7" fillId="21" borderId="1" xfId="0" applyNumberFormat="1" applyFont="1" applyFill="1" applyBorder="1" applyAlignment="1">
      <alignment horizontal="right" vertical="top" indent="1" shrinkToFit="1"/>
    </xf>
    <xf numFmtId="3" fontId="7" fillId="21" borderId="1" xfId="0" applyNumberFormat="1" applyFont="1" applyFill="1" applyBorder="1" applyAlignment="1">
      <alignment horizontal="right" vertical="top" indent="1" shrinkToFit="1"/>
    </xf>
    <xf numFmtId="1" fontId="7" fillId="23" borderId="1" xfId="0" applyNumberFormat="1" applyFont="1" applyFill="1" applyBorder="1" applyAlignment="1">
      <alignment horizontal="center" vertical="top" shrinkToFit="1"/>
    </xf>
    <xf numFmtId="1" fontId="7" fillId="23" borderId="1" xfId="0" applyNumberFormat="1" applyFont="1" applyFill="1" applyBorder="1" applyAlignment="1">
      <alignment horizontal="left" vertical="top" indent="2" shrinkToFit="1"/>
    </xf>
    <xf numFmtId="0" fontId="12" fillId="27" borderId="0" xfId="0" applyFont="1" applyFill="1" applyAlignment="1">
      <alignment wrapText="1"/>
    </xf>
    <xf numFmtId="0" fontId="0" fillId="27" borderId="0" xfId="0" applyFill="1"/>
    <xf numFmtId="0" fontId="12" fillId="28" borderId="0" xfId="0" applyFont="1" applyFill="1" applyAlignment="1">
      <alignment wrapText="1"/>
    </xf>
    <xf numFmtId="0" fontId="0" fillId="28" borderId="0" xfId="0" applyFill="1"/>
    <xf numFmtId="1" fontId="0" fillId="11" borderId="0" xfId="0" applyNumberFormat="1" applyFill="1"/>
    <xf numFmtId="10" fontId="2" fillId="9" borderId="0" xfId="1" applyNumberFormat="1" applyFont="1" applyFill="1" applyAlignment="1"/>
    <xf numFmtId="0" fontId="57" fillId="29" borderId="11" xfId="0" applyFont="1" applyFill="1" applyBorder="1"/>
    <xf numFmtId="0" fontId="0" fillId="29" borderId="0" xfId="0" applyFill="1" applyAlignment="1">
      <alignment wrapText="1"/>
    </xf>
    <xf numFmtId="0" fontId="0" fillId="29" borderId="0" xfId="0" applyFill="1"/>
    <xf numFmtId="0" fontId="48" fillId="29" borderId="28" xfId="0" applyFont="1" applyFill="1" applyBorder="1" applyAlignment="1">
      <alignment horizontal="right"/>
    </xf>
    <xf numFmtId="176" fontId="0" fillId="0" borderId="30" xfId="0" applyNumberFormat="1" applyBorder="1"/>
    <xf numFmtId="0" fontId="0" fillId="0" borderId="29" xfId="0" applyBorder="1" applyAlignment="1">
      <alignment wrapText="1"/>
    </xf>
    <xf numFmtId="0" fontId="8" fillId="29" borderId="33" xfId="0" applyFont="1" applyFill="1" applyBorder="1" applyAlignment="1">
      <alignment horizontal="left" vertical="top" wrapText="1"/>
    </xf>
    <xf numFmtId="0" fontId="8" fillId="8" borderId="33" xfId="0" applyFont="1" applyFill="1" applyBorder="1" applyAlignment="1">
      <alignment vertical="top" wrapText="1"/>
    </xf>
    <xf numFmtId="0" fontId="0" fillId="6" borderId="33" xfId="0" applyFill="1" applyBorder="1" applyAlignment="1">
      <alignment vertical="top" wrapText="1"/>
    </xf>
    <xf numFmtId="0" fontId="8" fillId="30" borderId="33" xfId="0" applyFont="1" applyFill="1" applyBorder="1" applyAlignment="1">
      <alignment vertical="top" wrapText="1"/>
    </xf>
    <xf numFmtId="0" fontId="8" fillId="29" borderId="33" xfId="0" applyFont="1" applyFill="1" applyBorder="1" applyAlignment="1">
      <alignment vertical="top" wrapText="1"/>
    </xf>
    <xf numFmtId="0" fontId="57" fillId="29" borderId="0" xfId="0" applyFont="1" applyFill="1"/>
    <xf numFmtId="0" fontId="58" fillId="29" borderId="0" xfId="0" applyFont="1" applyFill="1" applyAlignment="1">
      <alignment horizontal="right" vertical="top"/>
    </xf>
    <xf numFmtId="0" fontId="0" fillId="0" borderId="30" xfId="0" applyBorder="1" applyAlignment="1">
      <alignment wrapText="1"/>
    </xf>
    <xf numFmtId="0" fontId="8" fillId="29" borderId="28" xfId="0" applyFont="1" applyFill="1" applyBorder="1" applyAlignment="1">
      <alignment horizontal="left" vertical="center" wrapText="1"/>
    </xf>
    <xf numFmtId="0" fontId="8" fillId="8" borderId="29" xfId="0" applyFont="1" applyFill="1" applyBorder="1" applyAlignment="1">
      <alignment vertical="center" wrapText="1"/>
    </xf>
    <xf numFmtId="0" fontId="8" fillId="29" borderId="29" xfId="0" applyFont="1" applyFill="1" applyBorder="1" applyAlignment="1">
      <alignment vertical="center" wrapText="1"/>
    </xf>
    <xf numFmtId="0" fontId="8" fillId="29" borderId="30" xfId="0" applyFont="1" applyFill="1" applyBorder="1" applyAlignment="1">
      <alignment vertical="center" wrapText="1"/>
    </xf>
    <xf numFmtId="0" fontId="0" fillId="29" borderId="0" xfId="0" applyFill="1" applyAlignment="1">
      <alignment horizontal="right" vertical="top" wrapText="1"/>
    </xf>
    <xf numFmtId="0" fontId="0" fillId="29" borderId="0" xfId="0" applyFill="1" applyAlignment="1">
      <alignment horizontal="center"/>
    </xf>
    <xf numFmtId="0" fontId="60" fillId="29" borderId="0" xfId="0" applyFont="1" applyFill="1" applyAlignment="1">
      <alignment horizontal="center"/>
    </xf>
    <xf numFmtId="0" fontId="61" fillId="29" borderId="0" xfId="0" applyFont="1" applyFill="1"/>
    <xf numFmtId="0" fontId="0" fillId="29" borderId="0" xfId="0" applyFill="1" applyAlignment="1">
      <alignment horizontal="center" wrapText="1"/>
    </xf>
    <xf numFmtId="0" fontId="60" fillId="29" borderId="38" xfId="0" applyFont="1" applyFill="1" applyBorder="1" applyAlignment="1">
      <alignment horizontal="center" wrapText="1"/>
    </xf>
    <xf numFmtId="0" fontId="60" fillId="0" borderId="0" xfId="0" applyFont="1"/>
    <xf numFmtId="0" fontId="62" fillId="29" borderId="32" xfId="0" applyFont="1" applyFill="1" applyBorder="1"/>
    <xf numFmtId="9" fontId="60" fillId="29" borderId="46" xfId="0" applyNumberFormat="1" applyFont="1" applyFill="1" applyBorder="1" applyAlignment="1">
      <alignment wrapText="1"/>
    </xf>
    <xf numFmtId="0" fontId="60" fillId="29" borderId="47" xfId="0" applyFont="1" applyFill="1" applyBorder="1" applyAlignment="1">
      <alignment wrapText="1"/>
    </xf>
    <xf numFmtId="0" fontId="60" fillId="29" borderId="48" xfId="0" applyFont="1" applyFill="1" applyBorder="1" applyAlignment="1">
      <alignment wrapText="1"/>
    </xf>
    <xf numFmtId="0" fontId="60" fillId="29" borderId="0" xfId="0" applyFont="1" applyFill="1"/>
    <xf numFmtId="0" fontId="0" fillId="29" borderId="10" xfId="0" applyFill="1" applyBorder="1" applyAlignment="1">
      <alignment wrapText="1"/>
    </xf>
    <xf numFmtId="0" fontId="0" fillId="29" borderId="12" xfId="0" applyFill="1" applyBorder="1" applyAlignment="1">
      <alignment wrapText="1"/>
    </xf>
    <xf numFmtId="0" fontId="60" fillId="29" borderId="32" xfId="0" applyFont="1" applyFill="1" applyBorder="1"/>
    <xf numFmtId="9" fontId="60" fillId="6" borderId="49" xfId="0" applyNumberFormat="1" applyFont="1" applyFill="1" applyBorder="1" applyAlignment="1">
      <alignment wrapText="1"/>
    </xf>
    <xf numFmtId="175" fontId="60" fillId="0" borderId="50" xfId="9" applyNumberFormat="1" applyFont="1" applyFill="1" applyBorder="1" applyAlignment="1">
      <alignment wrapText="1"/>
    </xf>
    <xf numFmtId="0" fontId="0" fillId="29" borderId="50" xfId="0" applyFill="1" applyBorder="1"/>
    <xf numFmtId="9" fontId="60" fillId="30" borderId="50" xfId="0" applyNumberFormat="1" applyFont="1" applyFill="1" applyBorder="1" applyAlignment="1">
      <alignment wrapText="1"/>
    </xf>
    <xf numFmtId="9" fontId="60" fillId="6" borderId="50" xfId="0" applyNumberFormat="1" applyFont="1" applyFill="1" applyBorder="1" applyAlignment="1">
      <alignment wrapText="1"/>
    </xf>
    <xf numFmtId="9" fontId="60" fillId="29" borderId="50" xfId="0" applyNumberFormat="1" applyFont="1" applyFill="1" applyBorder="1" applyAlignment="1">
      <alignment wrapText="1"/>
    </xf>
    <xf numFmtId="0" fontId="60" fillId="29" borderId="50" xfId="0" applyFont="1" applyFill="1" applyBorder="1" applyAlignment="1">
      <alignment wrapText="1"/>
    </xf>
    <xf numFmtId="9" fontId="60" fillId="30" borderId="50" xfId="10" applyFont="1" applyFill="1" applyBorder="1" applyAlignment="1">
      <alignment wrapText="1"/>
    </xf>
    <xf numFmtId="9" fontId="60" fillId="30" borderId="51" xfId="0" applyNumberFormat="1" applyFont="1" applyFill="1" applyBorder="1" applyAlignment="1">
      <alignment wrapText="1"/>
    </xf>
    <xf numFmtId="0" fontId="62" fillId="29" borderId="8" xfId="0" applyFont="1" applyFill="1" applyBorder="1"/>
    <xf numFmtId="174" fontId="0" fillId="29" borderId="0" xfId="0" applyNumberFormat="1" applyFill="1" applyAlignment="1">
      <alignment wrapText="1"/>
    </xf>
    <xf numFmtId="0" fontId="60" fillId="29" borderId="49" xfId="0" applyFont="1" applyFill="1" applyBorder="1" applyAlignment="1">
      <alignment wrapText="1"/>
    </xf>
    <xf numFmtId="0" fontId="62" fillId="29" borderId="43" xfId="0" applyFont="1" applyFill="1" applyBorder="1"/>
    <xf numFmtId="0" fontId="60" fillId="29" borderId="52" xfId="0" applyFont="1" applyFill="1" applyBorder="1" applyAlignment="1">
      <alignment wrapText="1"/>
    </xf>
    <xf numFmtId="175" fontId="60" fillId="0" borderId="53" xfId="9" applyNumberFormat="1" applyFont="1" applyFill="1" applyBorder="1" applyAlignment="1">
      <alignment wrapText="1"/>
    </xf>
    <xf numFmtId="9" fontId="60" fillId="6" borderId="53" xfId="0" applyNumberFormat="1" applyFont="1" applyFill="1" applyBorder="1" applyAlignment="1">
      <alignment wrapText="1"/>
    </xf>
    <xf numFmtId="0" fontId="60" fillId="29" borderId="53" xfId="0" applyFont="1" applyFill="1" applyBorder="1" applyAlignment="1">
      <alignment wrapText="1"/>
    </xf>
    <xf numFmtId="9" fontId="60" fillId="30" borderId="53" xfId="0" applyNumberFormat="1" applyFont="1" applyFill="1" applyBorder="1" applyAlignment="1">
      <alignment wrapText="1"/>
    </xf>
    <xf numFmtId="9" fontId="60" fillId="29" borderId="53" xfId="10" applyFont="1" applyFill="1" applyBorder="1" applyAlignment="1">
      <alignment wrapText="1"/>
    </xf>
    <xf numFmtId="9" fontId="60" fillId="29" borderId="53" xfId="0" applyNumberFormat="1" applyFont="1" applyFill="1" applyBorder="1" applyAlignment="1">
      <alignment wrapText="1"/>
    </xf>
    <xf numFmtId="9" fontId="60" fillId="29" borderId="45" xfId="0" applyNumberFormat="1" applyFont="1" applyFill="1" applyBorder="1" applyAlignment="1">
      <alignment wrapText="1"/>
    </xf>
    <xf numFmtId="174" fontId="8" fillId="29" borderId="54" xfId="0" applyNumberFormat="1" applyFont="1" applyFill="1" applyBorder="1" applyAlignment="1">
      <alignment wrapText="1"/>
    </xf>
    <xf numFmtId="174" fontId="8" fillId="29" borderId="0" xfId="0" applyNumberFormat="1" applyFont="1" applyFill="1" applyAlignment="1">
      <alignment wrapText="1"/>
    </xf>
    <xf numFmtId="0" fontId="62" fillId="0" borderId="0" xfId="0" applyFont="1" applyAlignment="1">
      <alignment wrapText="1"/>
    </xf>
    <xf numFmtId="175" fontId="62" fillId="0" borderId="0" xfId="9" applyNumberFormat="1" applyFont="1" applyFill="1" applyBorder="1" applyAlignment="1">
      <alignment wrapText="1"/>
    </xf>
    <xf numFmtId="9" fontId="62" fillId="0" borderId="0" xfId="0" applyNumberFormat="1" applyFont="1" applyAlignment="1">
      <alignment wrapText="1"/>
    </xf>
    <xf numFmtId="0" fontId="8" fillId="29" borderId="0" xfId="0" applyFont="1" applyFill="1"/>
    <xf numFmtId="9" fontId="62" fillId="29" borderId="0" xfId="0" applyNumberFormat="1" applyFont="1" applyFill="1" applyAlignment="1">
      <alignment wrapText="1"/>
    </xf>
    <xf numFmtId="9" fontId="62" fillId="0" borderId="0" xfId="10" applyFont="1" applyFill="1" applyBorder="1" applyAlignment="1">
      <alignment wrapText="1"/>
    </xf>
    <xf numFmtId="9" fontId="62" fillId="29" borderId="0" xfId="10" applyFont="1" applyFill="1" applyBorder="1" applyAlignment="1">
      <alignment wrapText="1"/>
    </xf>
    <xf numFmtId="0" fontId="62" fillId="0" borderId="0" xfId="0" applyFont="1"/>
    <xf numFmtId="0" fontId="8" fillId="0" borderId="0" xfId="0" applyFont="1" applyAlignment="1">
      <alignment wrapText="1"/>
    </xf>
    <xf numFmtId="9" fontId="62" fillId="0" borderId="0" xfId="0" applyNumberFormat="1" applyFont="1"/>
    <xf numFmtId="0" fontId="60" fillId="0" borderId="0" xfId="0" applyFont="1" applyAlignment="1">
      <alignment wrapText="1"/>
    </xf>
    <xf numFmtId="9" fontId="60" fillId="0" borderId="0" xfId="0" applyNumberFormat="1" applyFont="1" applyAlignment="1">
      <alignment wrapText="1"/>
    </xf>
    <xf numFmtId="9" fontId="60" fillId="29" borderId="0" xfId="0" applyNumberFormat="1" applyFont="1" applyFill="1" applyAlignment="1">
      <alignment wrapText="1"/>
    </xf>
    <xf numFmtId="9" fontId="60" fillId="0" borderId="0" xfId="10" applyFont="1" applyFill="1" applyBorder="1" applyAlignment="1">
      <alignment wrapText="1"/>
    </xf>
    <xf numFmtId="9" fontId="60" fillId="29" borderId="0" xfId="10" applyFont="1" applyFill="1" applyBorder="1" applyAlignment="1">
      <alignment wrapText="1"/>
    </xf>
    <xf numFmtId="0" fontId="8" fillId="0" borderId="5" xfId="0" applyFont="1" applyBorder="1"/>
    <xf numFmtId="9" fontId="60" fillId="0" borderId="6" xfId="0" applyNumberFormat="1" applyFont="1" applyBorder="1" applyAlignment="1">
      <alignment wrapText="1"/>
    </xf>
    <xf numFmtId="1" fontId="60" fillId="0" borderId="6" xfId="9" applyNumberFormat="1" applyFont="1" applyFill="1" applyBorder="1" applyAlignment="1">
      <alignment wrapText="1"/>
    </xf>
    <xf numFmtId="1" fontId="60" fillId="0" borderId="7" xfId="9" applyNumberFormat="1" applyFont="1" applyFill="1" applyBorder="1" applyAlignment="1">
      <alignment wrapText="1"/>
    </xf>
    <xf numFmtId="0" fontId="60" fillId="29" borderId="8" xfId="0" applyFont="1" applyFill="1" applyBorder="1"/>
    <xf numFmtId="177" fontId="60" fillId="30" borderId="0" xfId="9" applyNumberFormat="1" applyFont="1" applyFill="1" applyBorder="1"/>
    <xf numFmtId="177" fontId="60" fillId="30" borderId="9" xfId="0" applyNumberFormat="1" applyFont="1" applyFill="1" applyBorder="1"/>
    <xf numFmtId="174" fontId="60" fillId="8" borderId="0" xfId="9" applyNumberFormat="1" applyFont="1" applyFill="1" applyBorder="1"/>
    <xf numFmtId="174" fontId="60" fillId="8" borderId="9" xfId="9" applyNumberFormat="1" applyFont="1" applyFill="1" applyBorder="1"/>
    <xf numFmtId="0" fontId="60" fillId="0" borderId="9" xfId="0" applyFont="1" applyBorder="1" applyAlignment="1">
      <alignment wrapText="1"/>
    </xf>
    <xf numFmtId="9" fontId="60" fillId="0" borderId="8" xfId="10" applyFont="1" applyFill="1" applyBorder="1" applyAlignment="1"/>
    <xf numFmtId="9" fontId="60" fillId="0" borderId="10" xfId="10" applyFont="1" applyFill="1" applyBorder="1" applyAlignment="1"/>
    <xf numFmtId="9" fontId="60" fillId="0" borderId="11" xfId="0" applyNumberFormat="1" applyFont="1" applyBorder="1" applyAlignment="1">
      <alignment wrapText="1"/>
    </xf>
    <xf numFmtId="9" fontId="60" fillId="0" borderId="11" xfId="10" applyFont="1" applyFill="1" applyBorder="1" applyAlignment="1">
      <alignment wrapText="1"/>
    </xf>
    <xf numFmtId="0" fontId="60" fillId="0" borderId="11" xfId="0" applyFont="1" applyBorder="1" applyAlignment="1">
      <alignment wrapText="1"/>
    </xf>
    <xf numFmtId="0" fontId="60" fillId="0" borderId="12" xfId="0" applyFont="1" applyBorder="1" applyAlignment="1">
      <alignment wrapText="1"/>
    </xf>
    <xf numFmtId="175" fontId="60" fillId="0" borderId="0" xfId="9" applyNumberFormat="1" applyFont="1" applyFill="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31" xfId="0" applyBorder="1" applyAlignment="1">
      <alignment wrapText="1"/>
    </xf>
    <xf numFmtId="0" fontId="0" fillId="0" borderId="9" xfId="0" applyBorder="1" applyAlignment="1">
      <alignment wrapText="1"/>
    </xf>
    <xf numFmtId="0" fontId="0" fillId="0" borderId="32" xfId="0" applyBorder="1" applyAlignment="1">
      <alignment wrapText="1"/>
    </xf>
    <xf numFmtId="0" fontId="13" fillId="0" borderId="8" xfId="2" applyBorder="1"/>
    <xf numFmtId="0" fontId="0" fillId="0" borderId="43" xfId="0" applyBorder="1" applyAlignment="1">
      <alignment wrapText="1"/>
    </xf>
    <xf numFmtId="0" fontId="0" fillId="0" borderId="28" xfId="0" applyBorder="1" applyAlignment="1">
      <alignment wrapText="1"/>
    </xf>
    <xf numFmtId="0" fontId="0" fillId="0" borderId="29" xfId="0" applyBorder="1"/>
    <xf numFmtId="0" fontId="60" fillId="29" borderId="29" xfId="0" applyFont="1" applyFill="1" applyBorder="1" applyAlignment="1">
      <alignment horizontal="center" wrapText="1"/>
    </xf>
    <xf numFmtId="0" fontId="0" fillId="29" borderId="29" xfId="0" applyFill="1" applyBorder="1" applyAlignment="1">
      <alignment wrapText="1"/>
    </xf>
    <xf numFmtId="0" fontId="0" fillId="0" borderId="33" xfId="0" applyBorder="1" applyAlignment="1">
      <alignment wrapText="1"/>
    </xf>
    <xf numFmtId="9" fontId="0" fillId="8" borderId="0" xfId="0" applyNumberFormat="1" applyFill="1" applyAlignment="1">
      <alignment wrapText="1"/>
    </xf>
    <xf numFmtId="0" fontId="0" fillId="29" borderId="31" xfId="0" applyFill="1" applyBorder="1" applyAlignment="1">
      <alignment horizontal="center"/>
    </xf>
    <xf numFmtId="166" fontId="0" fillId="29" borderId="11" xfId="9" applyNumberFormat="1" applyFont="1" applyFill="1" applyBorder="1"/>
    <xf numFmtId="164" fontId="0" fillId="30" borderId="11" xfId="9" applyFont="1" applyFill="1" applyBorder="1"/>
    <xf numFmtId="166" fontId="0" fillId="0" borderId="43" xfId="0" applyNumberFormat="1" applyBorder="1"/>
    <xf numFmtId="178" fontId="0" fillId="29" borderId="12" xfId="9" applyNumberFormat="1" applyFont="1" applyFill="1" applyBorder="1" applyAlignment="1">
      <alignment horizontal="center"/>
    </xf>
    <xf numFmtId="178" fontId="0" fillId="29" borderId="43" xfId="0" applyNumberFormat="1" applyFill="1" applyBorder="1" applyAlignment="1">
      <alignment horizontal="center"/>
    </xf>
    <xf numFmtId="0" fontId="60" fillId="29" borderId="28" xfId="0" applyFont="1" applyFill="1" applyBorder="1"/>
    <xf numFmtId="0" fontId="60" fillId="29" borderId="29" xfId="0" applyFont="1" applyFill="1" applyBorder="1"/>
    <xf numFmtId="0" fontId="60" fillId="29" borderId="30" xfId="0" applyFont="1" applyFill="1" applyBorder="1"/>
    <xf numFmtId="0" fontId="60" fillId="29" borderId="28" xfId="0" applyFont="1" applyFill="1" applyBorder="1" applyAlignment="1">
      <alignment wrapText="1"/>
    </xf>
    <xf numFmtId="0" fontId="60" fillId="29" borderId="30" xfId="0" applyFont="1" applyFill="1" applyBorder="1" applyAlignment="1">
      <alignment wrapText="1"/>
    </xf>
    <xf numFmtId="0" fontId="59" fillId="29" borderId="5" xfId="0" applyFont="1" applyFill="1" applyBorder="1" applyAlignment="1">
      <alignment wrapText="1"/>
    </xf>
    <xf numFmtId="0" fontId="60" fillId="29" borderId="5" xfId="0" applyFont="1" applyFill="1" applyBorder="1"/>
    <xf numFmtId="0" fontId="60" fillId="29" borderId="6" xfId="0" applyFont="1" applyFill="1" applyBorder="1"/>
    <xf numFmtId="0" fontId="0" fillId="29" borderId="6" xfId="0" applyFill="1" applyBorder="1"/>
    <xf numFmtId="0" fontId="60" fillId="29" borderId="31" xfId="0" applyFont="1" applyFill="1" applyBorder="1" applyAlignment="1">
      <alignment wrapText="1"/>
    </xf>
    <xf numFmtId="0" fontId="60" fillId="29" borderId="8" xfId="0" applyFont="1" applyFill="1" applyBorder="1" applyAlignment="1">
      <alignment wrapText="1"/>
    </xf>
    <xf numFmtId="0" fontId="60" fillId="29" borderId="0" xfId="0" applyFont="1" applyFill="1" applyAlignment="1">
      <alignment wrapText="1"/>
    </xf>
    <xf numFmtId="0" fontId="60" fillId="29" borderId="9" xfId="0" applyFont="1" applyFill="1" applyBorder="1" applyAlignment="1">
      <alignment wrapText="1"/>
    </xf>
    <xf numFmtId="0" fontId="60" fillId="29" borderId="0" xfId="0" applyFont="1" applyFill="1" applyAlignment="1">
      <alignment horizontal="center" wrapText="1"/>
    </xf>
    <xf numFmtId="0" fontId="0" fillId="29" borderId="6" xfId="0" applyFill="1" applyBorder="1" applyAlignment="1">
      <alignment wrapText="1"/>
    </xf>
    <xf numFmtId="0" fontId="60" fillId="29" borderId="9" xfId="0" applyFont="1" applyFill="1" applyBorder="1" applyAlignment="1">
      <alignment horizontal="center" wrapText="1"/>
    </xf>
    <xf numFmtId="0" fontId="60" fillId="29" borderId="8" xfId="0" applyFont="1" applyFill="1" applyBorder="1" applyAlignment="1">
      <alignment horizontal="center" wrapText="1"/>
    </xf>
    <xf numFmtId="174" fontId="60" fillId="29" borderId="0" xfId="9" applyNumberFormat="1" applyFont="1" applyFill="1" applyBorder="1" applyAlignment="1">
      <alignment horizontal="center" wrapText="1"/>
    </xf>
    <xf numFmtId="0" fontId="60" fillId="29" borderId="8" xfId="0" applyFont="1" applyFill="1" applyBorder="1" applyAlignment="1">
      <alignment horizontal="center"/>
    </xf>
    <xf numFmtId="0" fontId="60" fillId="29" borderId="9" xfId="0" applyFont="1" applyFill="1" applyBorder="1" applyAlignment="1">
      <alignment horizontal="center"/>
    </xf>
    <xf numFmtId="0" fontId="59" fillId="29" borderId="8" xfId="0" applyFont="1" applyFill="1" applyBorder="1" applyAlignment="1">
      <alignment wrapText="1"/>
    </xf>
    <xf numFmtId="0" fontId="60" fillId="29" borderId="5" xfId="0" applyFont="1" applyFill="1" applyBorder="1" applyAlignment="1">
      <alignment horizontal="center" wrapText="1"/>
    </xf>
    <xf numFmtId="0" fontId="60" fillId="29" borderId="6" xfId="0" applyFont="1" applyFill="1" applyBorder="1" applyAlignment="1">
      <alignment horizontal="center" wrapText="1"/>
    </xf>
    <xf numFmtId="0" fontId="60" fillId="29" borderId="7" xfId="0" applyFont="1" applyFill="1" applyBorder="1" applyAlignment="1">
      <alignment horizontal="center" wrapText="1"/>
    </xf>
    <xf numFmtId="0" fontId="60" fillId="29" borderId="55" xfId="0" applyFont="1" applyFill="1" applyBorder="1" applyAlignment="1">
      <alignment wrapText="1"/>
    </xf>
    <xf numFmtId="0" fontId="60" fillId="29" borderId="56" xfId="0" applyFont="1" applyFill="1" applyBorder="1" applyAlignment="1">
      <alignment horizontal="center" wrapText="1"/>
    </xf>
    <xf numFmtId="0" fontId="60" fillId="29" borderId="57" xfId="0" applyFont="1" applyFill="1" applyBorder="1" applyAlignment="1">
      <alignment horizontal="center" wrapText="1"/>
    </xf>
    <xf numFmtId="0" fontId="60" fillId="29" borderId="58" xfId="0" applyFont="1" applyFill="1" applyBorder="1" applyAlignment="1">
      <alignment horizontal="center" wrapText="1"/>
    </xf>
    <xf numFmtId="0" fontId="60" fillId="29" borderId="59" xfId="0" applyFont="1" applyFill="1" applyBorder="1" applyAlignment="1">
      <alignment horizontal="center" wrapText="1"/>
    </xf>
    <xf numFmtId="0" fontId="60" fillId="29" borderId="60" xfId="0" applyFont="1" applyFill="1" applyBorder="1" applyAlignment="1">
      <alignment horizontal="center" wrapText="1"/>
    </xf>
    <xf numFmtId="0" fontId="60" fillId="29" borderId="56" xfId="0" applyFont="1" applyFill="1" applyBorder="1" applyAlignment="1">
      <alignment horizontal="center"/>
    </xf>
    <xf numFmtId="0" fontId="60" fillId="29" borderId="58" xfId="0" applyFont="1" applyFill="1" applyBorder="1" applyAlignment="1">
      <alignment horizontal="center"/>
    </xf>
    <xf numFmtId="0" fontId="60" fillId="29" borderId="57" xfId="0" applyFont="1" applyFill="1" applyBorder="1" applyAlignment="1">
      <alignment horizontal="center"/>
    </xf>
    <xf numFmtId="0" fontId="59" fillId="29" borderId="10" xfId="0" applyFont="1" applyFill="1" applyBorder="1" applyAlignment="1">
      <alignment wrapText="1"/>
    </xf>
    <xf numFmtId="0" fontId="60" fillId="29" borderId="61" xfId="0" applyFont="1" applyFill="1" applyBorder="1" applyAlignment="1">
      <alignment horizontal="center" wrapText="1"/>
    </xf>
    <xf numFmtId="174" fontId="60" fillId="29" borderId="8" xfId="9" applyNumberFormat="1" applyFont="1" applyFill="1" applyBorder="1" applyAlignment="1">
      <alignment wrapText="1"/>
    </xf>
    <xf numFmtId="174" fontId="60" fillId="29" borderId="0" xfId="9" applyNumberFormat="1" applyFont="1" applyFill="1" applyAlignment="1">
      <alignment wrapText="1"/>
    </xf>
    <xf numFmtId="164" fontId="60" fillId="29" borderId="9" xfId="9" applyFont="1" applyFill="1" applyBorder="1" applyAlignment="1">
      <alignment wrapText="1"/>
    </xf>
    <xf numFmtId="0" fontId="60" fillId="29" borderId="5" xfId="0" applyFont="1" applyFill="1" applyBorder="1" applyAlignment="1">
      <alignment wrapText="1"/>
    </xf>
    <xf numFmtId="174" fontId="60" fillId="29" borderId="6" xfId="0" applyNumberFormat="1" applyFont="1" applyFill="1" applyBorder="1"/>
    <xf numFmtId="174" fontId="60" fillId="29" borderId="7" xfId="0" applyNumberFormat="1" applyFont="1" applyFill="1" applyBorder="1"/>
    <xf numFmtId="174" fontId="60" fillId="29" borderId="8" xfId="0" applyNumberFormat="1" applyFont="1" applyFill="1" applyBorder="1"/>
    <xf numFmtId="174" fontId="60" fillId="29" borderId="0" xfId="0" applyNumberFormat="1" applyFont="1" applyFill="1"/>
    <xf numFmtId="174" fontId="60" fillId="0" borderId="9" xfId="0" applyNumberFormat="1" applyFont="1" applyBorder="1"/>
    <xf numFmtId="177" fontId="60" fillId="29" borderId="8" xfId="0" applyNumberFormat="1" applyFont="1" applyFill="1" applyBorder="1"/>
    <xf numFmtId="174" fontId="60" fillId="29" borderId="9" xfId="9" applyNumberFormat="1" applyFont="1" applyFill="1" applyBorder="1"/>
    <xf numFmtId="179" fontId="60" fillId="29" borderId="0" xfId="0" applyNumberFormat="1" applyFont="1" applyFill="1"/>
    <xf numFmtId="174" fontId="60" fillId="29" borderId="9" xfId="0" applyNumberFormat="1" applyFont="1" applyFill="1" applyBorder="1"/>
    <xf numFmtId="174" fontId="60" fillId="29" borderId="0" xfId="9" applyNumberFormat="1" applyFont="1" applyFill="1" applyBorder="1" applyAlignment="1">
      <alignment wrapText="1"/>
    </xf>
    <xf numFmtId="174" fontId="0" fillId="29" borderId="0" xfId="9" applyNumberFormat="1" applyFont="1" applyFill="1" applyBorder="1" applyAlignment="1">
      <alignment wrapText="1"/>
    </xf>
    <xf numFmtId="0" fontId="60" fillId="29" borderId="32" xfId="0" applyFont="1" applyFill="1" applyBorder="1" applyAlignment="1">
      <alignment wrapText="1"/>
    </xf>
    <xf numFmtId="174" fontId="60" fillId="8" borderId="8" xfId="9" applyNumberFormat="1" applyFont="1" applyFill="1" applyBorder="1" applyAlignment="1">
      <alignment wrapText="1"/>
    </xf>
    <xf numFmtId="174" fontId="60" fillId="8" borderId="0" xfId="9" applyNumberFormat="1" applyFont="1" applyFill="1" applyAlignment="1">
      <alignment wrapText="1"/>
    </xf>
    <xf numFmtId="168" fontId="60" fillId="8" borderId="0" xfId="10" applyNumberFormat="1" applyFont="1" applyFill="1" applyAlignment="1">
      <alignment wrapText="1"/>
    </xf>
    <xf numFmtId="1" fontId="60" fillId="8" borderId="8" xfId="0" applyNumberFormat="1" applyFont="1" applyFill="1" applyBorder="1" applyAlignment="1">
      <alignment wrapText="1"/>
    </xf>
    <xf numFmtId="174" fontId="60" fillId="0" borderId="9" xfId="9" applyNumberFormat="1" applyFont="1" applyFill="1" applyBorder="1"/>
    <xf numFmtId="174" fontId="60" fillId="8" borderId="8" xfId="9" applyNumberFormat="1" applyFont="1" applyFill="1" applyBorder="1"/>
    <xf numFmtId="174" fontId="60" fillId="8" borderId="0" xfId="9" applyNumberFormat="1" applyFont="1" applyFill="1"/>
    <xf numFmtId="174" fontId="60" fillId="29" borderId="0" xfId="9" applyNumberFormat="1" applyFont="1" applyFill="1"/>
    <xf numFmtId="175" fontId="60" fillId="29" borderId="8" xfId="9" applyNumberFormat="1" applyFont="1" applyFill="1" applyBorder="1" applyAlignment="1">
      <alignment wrapText="1"/>
    </xf>
    <xf numFmtId="175" fontId="60" fillId="29" borderId="9" xfId="9" applyNumberFormat="1" applyFont="1" applyFill="1" applyBorder="1" applyAlignment="1">
      <alignment wrapText="1"/>
    </xf>
    <xf numFmtId="168" fontId="60" fillId="29" borderId="32" xfId="10" applyNumberFormat="1" applyFont="1" applyFill="1" applyBorder="1" applyAlignment="1">
      <alignment wrapText="1"/>
    </xf>
    <xf numFmtId="174" fontId="60" fillId="0" borderId="0" xfId="9" applyNumberFormat="1" applyFont="1" applyFill="1" applyAlignment="1">
      <alignment wrapText="1"/>
    </xf>
    <xf numFmtId="175" fontId="60" fillId="8" borderId="8" xfId="0" applyNumberFormat="1" applyFont="1" applyFill="1" applyBorder="1" applyAlignment="1">
      <alignment wrapText="1"/>
    </xf>
    <xf numFmtId="174" fontId="60" fillId="8" borderId="0" xfId="0" applyNumberFormat="1" applyFont="1" applyFill="1"/>
    <xf numFmtId="174" fontId="60" fillId="8" borderId="8" xfId="0" applyNumberFormat="1" applyFont="1" applyFill="1" applyBorder="1"/>
    <xf numFmtId="174" fontId="62" fillId="29" borderId="8" xfId="9" applyNumberFormat="1" applyFont="1" applyFill="1" applyBorder="1" applyAlignment="1">
      <alignment wrapText="1"/>
    </xf>
    <xf numFmtId="174" fontId="62" fillId="29" borderId="0" xfId="9" applyNumberFormat="1" applyFont="1" applyFill="1" applyBorder="1" applyAlignment="1">
      <alignment wrapText="1"/>
    </xf>
    <xf numFmtId="175" fontId="62" fillId="29" borderId="8" xfId="9" applyNumberFormat="1" applyFont="1" applyFill="1" applyBorder="1" applyAlignment="1">
      <alignment wrapText="1"/>
    </xf>
    <xf numFmtId="175" fontId="62" fillId="29" borderId="0" xfId="9" applyNumberFormat="1" applyFont="1" applyFill="1" applyBorder="1" applyAlignment="1">
      <alignment wrapText="1"/>
    </xf>
    <xf numFmtId="174" fontId="60" fillId="29" borderId="8" xfId="9" applyNumberFormat="1" applyFont="1" applyFill="1" applyBorder="1" applyAlignment="1">
      <alignment horizontal="center" wrapText="1"/>
    </xf>
    <xf numFmtId="174" fontId="60" fillId="29" borderId="0" xfId="9" applyNumberFormat="1" applyFont="1" applyFill="1" applyAlignment="1">
      <alignment vertical="center" wrapText="1"/>
    </xf>
    <xf numFmtId="0" fontId="60" fillId="8" borderId="8" xfId="0" applyFont="1" applyFill="1" applyBorder="1" applyAlignment="1">
      <alignment wrapText="1"/>
    </xf>
    <xf numFmtId="0" fontId="60" fillId="8" borderId="0" xfId="0" applyFont="1" applyFill="1"/>
    <xf numFmtId="0" fontId="60" fillId="29" borderId="9" xfId="0" applyFont="1" applyFill="1" applyBorder="1"/>
    <xf numFmtId="175" fontId="60" fillId="29" borderId="0" xfId="9" applyNumberFormat="1" applyFont="1" applyFill="1" applyBorder="1" applyAlignment="1">
      <alignment wrapText="1"/>
    </xf>
    <xf numFmtId="0" fontId="60" fillId="29" borderId="10" xfId="0" applyFont="1" applyFill="1" applyBorder="1" applyAlignment="1">
      <alignment wrapText="1"/>
    </xf>
    <xf numFmtId="0" fontId="60" fillId="29" borderId="11" xfId="0" applyFont="1" applyFill="1" applyBorder="1"/>
    <xf numFmtId="0" fontId="0" fillId="29" borderId="11" xfId="0" applyFill="1" applyBorder="1"/>
    <xf numFmtId="0" fontId="60" fillId="29" borderId="12" xfId="0" applyFont="1" applyFill="1" applyBorder="1"/>
    <xf numFmtId="0" fontId="62" fillId="29" borderId="10" xfId="0" applyFont="1" applyFill="1" applyBorder="1"/>
    <xf numFmtId="174" fontId="62" fillId="29" borderId="10" xfId="9" applyNumberFormat="1" applyFont="1" applyFill="1" applyBorder="1" applyAlignment="1">
      <alignment wrapText="1"/>
    </xf>
    <xf numFmtId="174" fontId="62" fillId="29" borderId="11" xfId="9" applyNumberFormat="1" applyFont="1" applyFill="1" applyBorder="1" applyAlignment="1">
      <alignment wrapText="1"/>
    </xf>
    <xf numFmtId="164" fontId="62" fillId="29" borderId="12" xfId="9" applyFont="1" applyFill="1" applyBorder="1" applyAlignment="1">
      <alignment wrapText="1"/>
    </xf>
    <xf numFmtId="174" fontId="62" fillId="29" borderId="12" xfId="9" applyNumberFormat="1" applyFont="1" applyFill="1" applyBorder="1" applyAlignment="1">
      <alignment wrapText="1"/>
    </xf>
    <xf numFmtId="174" fontId="8" fillId="29" borderId="11" xfId="9" applyNumberFormat="1" applyFont="1" applyFill="1" applyBorder="1"/>
    <xf numFmtId="175" fontId="62" fillId="29" borderId="10" xfId="9" applyNumberFormat="1" applyFont="1" applyFill="1" applyBorder="1" applyAlignment="1">
      <alignment wrapText="1"/>
    </xf>
    <xf numFmtId="175" fontId="62" fillId="29" borderId="11" xfId="9" applyNumberFormat="1" applyFont="1" applyFill="1" applyBorder="1" applyAlignment="1">
      <alignment wrapText="1"/>
    </xf>
    <xf numFmtId="175" fontId="62" fillId="29" borderId="12" xfId="9" applyNumberFormat="1" applyFont="1" applyFill="1" applyBorder="1" applyAlignment="1">
      <alignment wrapText="1"/>
    </xf>
    <xf numFmtId="174" fontId="62" fillId="29" borderId="43" xfId="9" applyNumberFormat="1" applyFont="1" applyFill="1" applyBorder="1" applyAlignment="1">
      <alignment wrapText="1"/>
    </xf>
    <xf numFmtId="0" fontId="31" fillId="29" borderId="0" xfId="0" applyFont="1" applyFill="1"/>
    <xf numFmtId="0" fontId="64" fillId="29" borderId="0" xfId="0" applyFont="1" applyFill="1" applyAlignment="1">
      <alignment horizontal="right"/>
    </xf>
    <xf numFmtId="175" fontId="60" fillId="29" borderId="0" xfId="9" applyNumberFormat="1" applyFont="1" applyFill="1" applyAlignment="1">
      <alignment wrapText="1"/>
    </xf>
    <xf numFmtId="0" fontId="60" fillId="29" borderId="7" xfId="0" applyFont="1" applyFill="1" applyBorder="1" applyAlignment="1">
      <alignment wrapText="1"/>
    </xf>
    <xf numFmtId="0" fontId="60" fillId="29" borderId="7" xfId="0" applyFont="1" applyFill="1" applyBorder="1"/>
    <xf numFmtId="0" fontId="59" fillId="29" borderId="31" xfId="0" applyFont="1" applyFill="1" applyBorder="1" applyAlignment="1">
      <alignment wrapText="1"/>
    </xf>
    <xf numFmtId="175" fontId="60" fillId="29" borderId="5" xfId="9" applyNumberFormat="1" applyFont="1" applyFill="1" applyBorder="1" applyAlignment="1"/>
    <xf numFmtId="175" fontId="60" fillId="29" borderId="6" xfId="9" applyNumberFormat="1" applyFont="1" applyFill="1" applyBorder="1" applyAlignment="1"/>
    <xf numFmtId="0" fontId="59" fillId="29" borderId="32" xfId="0" applyFont="1" applyFill="1" applyBorder="1" applyAlignment="1">
      <alignment wrapText="1"/>
    </xf>
    <xf numFmtId="175" fontId="60" fillId="29" borderId="8" xfId="9" applyNumberFormat="1" applyFont="1" applyFill="1" applyBorder="1" applyAlignment="1">
      <alignment horizontal="center" wrapText="1"/>
    </xf>
    <xf numFmtId="175" fontId="60" fillId="29" borderId="0" xfId="9" applyNumberFormat="1" applyFont="1" applyFill="1" applyBorder="1" applyAlignment="1">
      <alignment horizontal="center" wrapText="1"/>
    </xf>
    <xf numFmtId="0" fontId="60" fillId="29" borderId="62" xfId="0" applyFont="1" applyFill="1" applyBorder="1" applyAlignment="1">
      <alignment horizontal="center" wrapText="1"/>
    </xf>
    <xf numFmtId="0" fontId="60" fillId="29" borderId="63" xfId="0" applyFont="1" applyFill="1" applyBorder="1" applyAlignment="1">
      <alignment horizontal="center" wrapText="1"/>
    </xf>
    <xf numFmtId="0" fontId="60" fillId="29" borderId="64" xfId="0" applyFont="1" applyFill="1" applyBorder="1" applyAlignment="1">
      <alignment horizontal="center" wrapText="1"/>
    </xf>
    <xf numFmtId="0" fontId="60" fillId="29" borderId="65" xfId="0" applyFont="1" applyFill="1" applyBorder="1" applyAlignment="1">
      <alignment horizontal="center" wrapText="1"/>
    </xf>
    <xf numFmtId="0" fontId="60" fillId="29" borderId="66" xfId="0" applyFont="1" applyFill="1" applyBorder="1" applyAlignment="1">
      <alignment horizontal="center" wrapText="1"/>
    </xf>
    <xf numFmtId="0" fontId="60" fillId="29" borderId="67" xfId="0" applyFont="1" applyFill="1" applyBorder="1" applyAlignment="1">
      <alignment horizontal="center" wrapText="1"/>
    </xf>
    <xf numFmtId="0" fontId="60" fillId="0" borderId="62" xfId="0" applyFont="1" applyBorder="1" applyAlignment="1">
      <alignment horizontal="center"/>
    </xf>
    <xf numFmtId="0" fontId="60" fillId="29" borderId="64" xfId="0" applyFont="1" applyFill="1" applyBorder="1" applyAlignment="1">
      <alignment horizontal="center"/>
    </xf>
    <xf numFmtId="0" fontId="60" fillId="29" borderId="63" xfId="0" applyFont="1" applyFill="1" applyBorder="1" applyAlignment="1">
      <alignment horizontal="center"/>
    </xf>
    <xf numFmtId="0" fontId="59" fillId="29" borderId="43" xfId="0" applyFont="1" applyFill="1" applyBorder="1" applyAlignment="1">
      <alignment wrapText="1"/>
    </xf>
    <xf numFmtId="175" fontId="60" fillId="29" borderId="63" xfId="9" applyNumberFormat="1" applyFont="1" applyFill="1" applyBorder="1" applyAlignment="1">
      <alignment horizontal="center" wrapText="1"/>
    </xf>
    <xf numFmtId="0" fontId="60" fillId="29" borderId="68" xfId="0" applyFont="1" applyFill="1" applyBorder="1" applyAlignment="1">
      <alignment horizontal="center" wrapText="1"/>
    </xf>
    <xf numFmtId="174" fontId="60" fillId="31" borderId="0" xfId="9" applyNumberFormat="1" applyFont="1" applyFill="1" applyAlignment="1">
      <alignment wrapText="1"/>
    </xf>
    <xf numFmtId="174" fontId="60" fillId="31" borderId="9" xfId="9" applyNumberFormat="1" applyFont="1" applyFill="1" applyBorder="1" applyAlignment="1">
      <alignment wrapText="1"/>
    </xf>
    <xf numFmtId="177" fontId="0" fillId="29" borderId="0" xfId="0" applyNumberFormat="1" applyFill="1"/>
    <xf numFmtId="174" fontId="0" fillId="29" borderId="0" xfId="0" applyNumberFormat="1" applyFill="1"/>
    <xf numFmtId="174" fontId="60" fillId="29" borderId="5" xfId="0" applyNumberFormat="1" applyFont="1" applyFill="1" applyBorder="1"/>
    <xf numFmtId="0" fontId="60" fillId="29" borderId="6" xfId="0" applyFont="1" applyFill="1" applyBorder="1" applyAlignment="1">
      <alignment wrapText="1"/>
    </xf>
    <xf numFmtId="9" fontId="60" fillId="29" borderId="0" xfId="9" applyNumberFormat="1" applyFont="1" applyFill="1" applyAlignment="1">
      <alignment wrapText="1"/>
    </xf>
    <xf numFmtId="1" fontId="60" fillId="29" borderId="8" xfId="0" applyNumberFormat="1" applyFont="1" applyFill="1" applyBorder="1" applyAlignment="1">
      <alignment wrapText="1"/>
    </xf>
    <xf numFmtId="174" fontId="60" fillId="29" borderId="0" xfId="9" applyNumberFormat="1" applyFont="1" applyFill="1" applyBorder="1"/>
    <xf numFmtId="174" fontId="60" fillId="29" borderId="8" xfId="9" applyNumberFormat="1" applyFont="1" applyFill="1" applyBorder="1"/>
    <xf numFmtId="166" fontId="60" fillId="29" borderId="9" xfId="9" applyNumberFormat="1" applyFont="1" applyFill="1" applyBorder="1"/>
    <xf numFmtId="166" fontId="60" fillId="29" borderId="0" xfId="9" applyNumberFormat="1" applyFont="1" applyFill="1" applyBorder="1" applyAlignment="1">
      <alignment wrapText="1"/>
    </xf>
    <xf numFmtId="174" fontId="60" fillId="29" borderId="9" xfId="9" applyNumberFormat="1" applyFont="1" applyFill="1" applyBorder="1" applyAlignment="1">
      <alignment wrapText="1"/>
    </xf>
    <xf numFmtId="175" fontId="60" fillId="29" borderId="8" xfId="0" applyNumberFormat="1" applyFont="1" applyFill="1" applyBorder="1" applyAlignment="1">
      <alignment wrapText="1"/>
    </xf>
    <xf numFmtId="174" fontId="60" fillId="30" borderId="0" xfId="0" applyNumberFormat="1" applyFont="1" applyFill="1"/>
    <xf numFmtId="178" fontId="60" fillId="30" borderId="0" xfId="0" applyNumberFormat="1" applyFont="1" applyFill="1"/>
    <xf numFmtId="174" fontId="0" fillId="30" borderId="0" xfId="9" applyNumberFormat="1" applyFont="1" applyFill="1" applyBorder="1"/>
    <xf numFmtId="174" fontId="62" fillId="29" borderId="8" xfId="0" applyNumberFormat="1" applyFont="1" applyFill="1" applyBorder="1" applyAlignment="1">
      <alignment wrapText="1"/>
    </xf>
    <xf numFmtId="166" fontId="62" fillId="29" borderId="0" xfId="9" applyNumberFormat="1" applyFont="1" applyFill="1" applyBorder="1" applyAlignment="1">
      <alignment wrapText="1"/>
    </xf>
    <xf numFmtId="174" fontId="62" fillId="29" borderId="9" xfId="9" applyNumberFormat="1" applyFont="1" applyFill="1" applyBorder="1" applyAlignment="1">
      <alignment wrapText="1"/>
    </xf>
    <xf numFmtId="175" fontId="62" fillId="29" borderId="0" xfId="9" applyNumberFormat="1" applyFont="1" applyFill="1" applyAlignment="1">
      <alignment wrapText="1"/>
    </xf>
    <xf numFmtId="0" fontId="62" fillId="29" borderId="8" xfId="0" applyFont="1" applyFill="1" applyBorder="1" applyAlignment="1">
      <alignment wrapText="1"/>
    </xf>
    <xf numFmtId="0" fontId="62" fillId="29" borderId="0" xfId="0" applyFont="1" applyFill="1" applyAlignment="1">
      <alignment wrapText="1"/>
    </xf>
    <xf numFmtId="1" fontId="62" fillId="29" borderId="8" xfId="0" applyNumberFormat="1" applyFont="1" applyFill="1" applyBorder="1" applyAlignment="1">
      <alignment wrapText="1"/>
    </xf>
    <xf numFmtId="174" fontId="60" fillId="29" borderId="32" xfId="9" applyNumberFormat="1" applyFont="1" applyFill="1" applyBorder="1" applyAlignment="1">
      <alignment wrapText="1"/>
    </xf>
    <xf numFmtId="0" fontId="8" fillId="29" borderId="0" xfId="0" applyFont="1" applyFill="1" applyAlignment="1">
      <alignment wrapText="1"/>
    </xf>
    <xf numFmtId="178" fontId="62" fillId="29" borderId="12" xfId="9" applyNumberFormat="1" applyFont="1" applyFill="1" applyBorder="1" applyAlignment="1">
      <alignment wrapText="1"/>
    </xf>
    <xf numFmtId="0" fontId="8" fillId="29" borderId="11" xfId="0" applyFont="1" applyFill="1" applyBorder="1"/>
    <xf numFmtId="175" fontId="0" fillId="29" borderId="0" xfId="9" applyNumberFormat="1" applyFont="1" applyFill="1" applyAlignment="1">
      <alignment wrapText="1"/>
    </xf>
    <xf numFmtId="9" fontId="0" fillId="29" borderId="0" xfId="10" applyFont="1" applyFill="1"/>
    <xf numFmtId="164" fontId="0" fillId="29" borderId="0" xfId="9" applyFont="1" applyFill="1"/>
    <xf numFmtId="1" fontId="0" fillId="29" borderId="0" xfId="0" applyNumberFormat="1" applyFill="1" applyAlignment="1">
      <alignment wrapText="1"/>
    </xf>
    <xf numFmtId="169" fontId="0" fillId="29" borderId="0" xfId="0" applyNumberFormat="1" applyFill="1" applyAlignment="1">
      <alignment wrapText="1"/>
    </xf>
    <xf numFmtId="173" fontId="0" fillId="0" borderId="0" xfId="0" applyNumberFormat="1"/>
    <xf numFmtId="0" fontId="0" fillId="27" borderId="0" xfId="0" applyFill="1" applyAlignment="1">
      <alignment wrapText="1"/>
    </xf>
    <xf numFmtId="1" fontId="0" fillId="27" borderId="0" xfId="0" applyNumberFormat="1" applyFill="1"/>
    <xf numFmtId="0" fontId="0" fillId="28" borderId="5" xfId="0" applyFill="1" applyBorder="1"/>
    <xf numFmtId="0" fontId="0" fillId="28" borderId="6" xfId="0" applyFill="1" applyBorder="1"/>
    <xf numFmtId="0" fontId="0" fillId="28" borderId="7" xfId="0" applyFill="1" applyBorder="1"/>
    <xf numFmtId="0" fontId="0" fillId="28" borderId="8" xfId="0" applyFill="1" applyBorder="1"/>
    <xf numFmtId="0" fontId="0" fillId="28" borderId="9" xfId="0" applyFill="1" applyBorder="1"/>
    <xf numFmtId="1" fontId="0" fillId="7" borderId="8" xfId="0" applyNumberFormat="1" applyFill="1" applyBorder="1"/>
    <xf numFmtId="0" fontId="0" fillId="7" borderId="9" xfId="0" applyFill="1" applyBorder="1"/>
    <xf numFmtId="1" fontId="0" fillId="7" borderId="10" xfId="0" applyNumberFormat="1" applyFill="1" applyBorder="1"/>
    <xf numFmtId="0" fontId="0" fillId="9" borderId="9" xfId="0" applyFill="1" applyBorder="1"/>
    <xf numFmtId="1" fontId="0" fillId="7" borderId="12" xfId="0" applyNumberFormat="1" applyFill="1" applyBorder="1"/>
    <xf numFmtId="1" fontId="0" fillId="9" borderId="12" xfId="0" applyNumberFormat="1" applyFill="1" applyBorder="1"/>
    <xf numFmtId="0" fontId="0" fillId="0" borderId="0" xfId="0" applyAlignment="1">
      <alignment horizontal="center" vertical="top" wrapText="1"/>
    </xf>
    <xf numFmtId="3" fontId="7" fillId="0" borderId="0" xfId="0" applyNumberFormat="1" applyFont="1" applyAlignment="1">
      <alignment vertical="top" shrinkToFit="1"/>
    </xf>
    <xf numFmtId="0" fontId="0" fillId="0" borderId="5" xfId="0" applyBorder="1" applyAlignment="1">
      <alignment horizontal="left" vertical="top" wrapText="1" indent="1"/>
    </xf>
    <xf numFmtId="0" fontId="0" fillId="0" borderId="7" xfId="0" applyBorder="1" applyAlignment="1">
      <alignment horizontal="center" vertical="top" wrapText="1"/>
    </xf>
    <xf numFmtId="3" fontId="7" fillId="2" borderId="11" xfId="0" applyNumberFormat="1" applyFont="1" applyFill="1" applyBorder="1" applyAlignment="1">
      <alignment vertical="top" shrinkToFit="1"/>
    </xf>
    <xf numFmtId="9" fontId="7" fillId="2" borderId="11" xfId="0" applyNumberFormat="1" applyFont="1" applyFill="1" applyBorder="1" applyAlignment="1">
      <alignment horizontal="right" vertical="top" shrinkToFit="1"/>
    </xf>
    <xf numFmtId="1" fontId="7" fillId="3" borderId="11" xfId="0" applyNumberFormat="1" applyFont="1" applyFill="1" applyBorder="1" applyAlignment="1">
      <alignment vertical="top" shrinkToFit="1"/>
    </xf>
    <xf numFmtId="9" fontId="7" fillId="3" borderId="11" xfId="0" applyNumberFormat="1" applyFont="1" applyFill="1" applyBorder="1" applyAlignment="1">
      <alignment horizontal="right" vertical="top" indent="1" shrinkToFit="1"/>
    </xf>
    <xf numFmtId="3" fontId="7" fillId="5" borderId="11" xfId="0" applyNumberFormat="1" applyFont="1" applyFill="1" applyBorder="1" applyAlignment="1">
      <alignment horizontal="right" vertical="top" indent="1" shrinkToFit="1"/>
    </xf>
    <xf numFmtId="9" fontId="7" fillId="5" borderId="11" xfId="0" applyNumberFormat="1" applyFont="1" applyFill="1" applyBorder="1" applyAlignment="1">
      <alignment vertical="top" shrinkToFit="1"/>
    </xf>
    <xf numFmtId="3" fontId="7" fillId="0" borderId="12" xfId="0" applyNumberFormat="1" applyFont="1" applyBorder="1" applyAlignment="1">
      <alignment vertical="top" shrinkToFit="1"/>
    </xf>
    <xf numFmtId="1" fontId="0" fillId="9" borderId="9" xfId="0" applyNumberFormat="1" applyFill="1" applyBorder="1"/>
    <xf numFmtId="0" fontId="0" fillId="0" borderId="0" xfId="0" applyAlignment="1">
      <alignment vertical="center" wrapText="1"/>
    </xf>
    <xf numFmtId="0" fontId="12" fillId="0" borderId="8" xfId="0" applyFont="1" applyBorder="1" applyAlignment="1">
      <alignment vertical="center" wrapText="1"/>
    </xf>
    <xf numFmtId="0" fontId="12" fillId="0" borderId="0" xfId="0" applyFont="1" applyAlignment="1">
      <alignment vertical="center" wrapText="1"/>
    </xf>
    <xf numFmtId="0" fontId="12" fillId="0" borderId="9" xfId="0" applyFont="1" applyBorder="1" applyAlignment="1">
      <alignment vertical="center" wrapText="1"/>
    </xf>
    <xf numFmtId="0" fontId="47" fillId="0" borderId="5" xfId="0" applyFont="1" applyBorder="1"/>
    <xf numFmtId="168" fontId="0" fillId="0" borderId="9" xfId="1" applyNumberFormat="1" applyFont="1" applyBorder="1" applyAlignment="1"/>
    <xf numFmtId="0" fontId="0" fillId="7" borderId="8" xfId="0" applyFill="1" applyBorder="1"/>
    <xf numFmtId="9" fontId="0" fillId="7" borderId="0" xfId="0" applyNumberFormat="1" applyFill="1"/>
    <xf numFmtId="9" fontId="0" fillId="7" borderId="9" xfId="0" applyNumberFormat="1" applyFill="1" applyBorder="1"/>
    <xf numFmtId="9" fontId="0" fillId="7" borderId="9" xfId="1" applyFont="1" applyFill="1" applyBorder="1" applyAlignment="1"/>
    <xf numFmtId="168" fontId="0" fillId="7" borderId="0" xfId="1" applyNumberFormat="1" applyFont="1" applyFill="1" applyBorder="1" applyAlignment="1"/>
    <xf numFmtId="0" fontId="38" fillId="0" borderId="5" xfId="0" applyFont="1" applyBorder="1"/>
    <xf numFmtId="0" fontId="61" fillId="0" borderId="0" xfId="0" applyFont="1"/>
    <xf numFmtId="0" fontId="66" fillId="0" borderId="0" xfId="0" applyFont="1"/>
    <xf numFmtId="0" fontId="67" fillId="0" borderId="0" xfId="0" applyFont="1"/>
    <xf numFmtId="0" fontId="0" fillId="30" borderId="0" xfId="0" applyFill="1"/>
    <xf numFmtId="0" fontId="66" fillId="30" borderId="0" xfId="0" applyFont="1" applyFill="1"/>
    <xf numFmtId="0" fontId="12" fillId="30" borderId="0" xfId="0" applyFont="1" applyFill="1"/>
    <xf numFmtId="1" fontId="0" fillId="30" borderId="0" xfId="0" applyNumberFormat="1" applyFill="1"/>
    <xf numFmtId="0" fontId="60" fillId="7" borderId="0" xfId="0" applyFont="1" applyFill="1"/>
    <xf numFmtId="1" fontId="60" fillId="7" borderId="0" xfId="0" applyNumberFormat="1" applyFont="1" applyFill="1"/>
    <xf numFmtId="0" fontId="0" fillId="32" borderId="0" xfId="0" applyFill="1"/>
    <xf numFmtId="0" fontId="0" fillId="32" borderId="0" xfId="0" applyFill="1" applyAlignment="1">
      <alignment horizontal="left"/>
    </xf>
    <xf numFmtId="0" fontId="31" fillId="0" borderId="0" xfId="0" applyFont="1"/>
    <xf numFmtId="1" fontId="7" fillId="3" borderId="3" xfId="0" applyNumberFormat="1" applyFont="1" applyFill="1" applyBorder="1" applyAlignment="1">
      <alignment vertical="top" shrinkToFit="1"/>
    </xf>
    <xf numFmtId="174" fontId="68" fillId="33" borderId="2" xfId="11" applyNumberFormat="1" applyFont="1" applyFill="1" applyBorder="1" applyAlignment="1">
      <alignment horizontal="right" vertical="top"/>
    </xf>
    <xf numFmtId="174" fontId="68" fillId="33" borderId="2" xfId="11" applyNumberFormat="1" applyFont="1" applyFill="1" applyBorder="1" applyAlignment="1">
      <alignment horizontal="right"/>
    </xf>
    <xf numFmtId="1" fontId="7" fillId="0" borderId="2" xfId="0" applyNumberFormat="1" applyFont="1" applyBorder="1" applyAlignment="1">
      <alignment horizontal="right" vertical="top" shrinkToFit="1"/>
    </xf>
    <xf numFmtId="3" fontId="7" fillId="34" borderId="1" xfId="0" applyNumberFormat="1" applyFont="1" applyFill="1" applyBorder="1" applyAlignment="1">
      <alignment horizontal="left" vertical="top" indent="1" shrinkToFit="1"/>
    </xf>
    <xf numFmtId="0" fontId="68" fillId="0" borderId="1" xfId="0" applyFont="1" applyBorder="1" applyAlignment="1">
      <alignment horizontal="right" vertical="top"/>
    </xf>
    <xf numFmtId="0" fontId="68" fillId="34" borderId="1" xfId="0" applyFont="1" applyFill="1" applyBorder="1" applyAlignment="1">
      <alignment horizontal="center" vertical="center"/>
    </xf>
    <xf numFmtId="3" fontId="7" fillId="22" borderId="1" xfId="0" applyNumberFormat="1" applyFont="1" applyFill="1" applyBorder="1" applyAlignment="1">
      <alignment horizontal="center" vertical="center" shrinkToFit="1"/>
    </xf>
    <xf numFmtId="3" fontId="7" fillId="23" borderId="1" xfId="0" applyNumberFormat="1" applyFont="1" applyFill="1" applyBorder="1" applyAlignment="1">
      <alignment horizontal="center" vertical="center" shrinkToFit="1"/>
    </xf>
    <xf numFmtId="1" fontId="7" fillId="24" borderId="1" xfId="0" applyNumberFormat="1" applyFont="1" applyFill="1" applyBorder="1" applyAlignment="1">
      <alignment horizontal="center" vertical="center" shrinkToFit="1"/>
    </xf>
    <xf numFmtId="3" fontId="7" fillId="25" borderId="1" xfId="0" applyNumberFormat="1" applyFont="1" applyFill="1" applyBorder="1" applyAlignment="1">
      <alignment horizontal="center" vertical="center" shrinkToFit="1"/>
    </xf>
    <xf numFmtId="3" fontId="7" fillId="20" borderId="1" xfId="0" applyNumberFormat="1" applyFont="1" applyFill="1" applyBorder="1" applyAlignment="1">
      <alignment horizontal="center" vertical="center" shrinkToFit="1"/>
    </xf>
    <xf numFmtId="3" fontId="7" fillId="26" borderId="1" xfId="0" applyNumberFormat="1" applyFont="1" applyFill="1" applyBorder="1" applyAlignment="1">
      <alignment horizontal="center" vertical="center" shrinkToFit="1"/>
    </xf>
    <xf numFmtId="3" fontId="7" fillId="0" borderId="1" xfId="0" applyNumberFormat="1" applyFont="1" applyBorder="1" applyAlignment="1">
      <alignment horizontal="center" vertical="center" shrinkToFit="1"/>
    </xf>
    <xf numFmtId="9" fontId="69" fillId="22" borderId="1" xfId="1" applyFont="1" applyFill="1" applyBorder="1" applyAlignment="1">
      <alignment horizontal="center" vertical="top" shrinkToFit="1"/>
    </xf>
    <xf numFmtId="1" fontId="7" fillId="0" borderId="69" xfId="0" applyNumberFormat="1" applyFont="1" applyBorder="1" applyAlignment="1">
      <alignment horizontal="right" vertical="top" shrinkToFit="1"/>
    </xf>
    <xf numFmtId="9" fontId="7" fillId="21" borderId="69" xfId="1" applyFont="1" applyFill="1" applyBorder="1" applyAlignment="1">
      <alignment horizontal="left" vertical="top" indent="1" shrinkToFit="1"/>
    </xf>
    <xf numFmtId="9" fontId="7" fillId="22" borderId="69" xfId="1" applyFont="1" applyFill="1" applyBorder="1" applyAlignment="1">
      <alignment horizontal="center" vertical="top" shrinkToFit="1"/>
    </xf>
    <xf numFmtId="9" fontId="7" fillId="23" borderId="69" xfId="1" applyFont="1" applyFill="1" applyBorder="1" applyAlignment="1">
      <alignment horizontal="center" vertical="top" shrinkToFit="1"/>
    </xf>
    <xf numFmtId="9" fontId="7" fillId="24" borderId="69" xfId="1" applyFont="1" applyFill="1" applyBorder="1" applyAlignment="1">
      <alignment horizontal="right" vertical="top" indent="1" shrinkToFit="1"/>
    </xf>
    <xf numFmtId="9" fontId="7" fillId="25" borderId="69" xfId="1" applyFont="1" applyFill="1" applyBorder="1" applyAlignment="1">
      <alignment horizontal="center" vertical="top" shrinkToFit="1"/>
    </xf>
    <xf numFmtId="9" fontId="7" fillId="20" borderId="69" xfId="1" applyFont="1" applyFill="1" applyBorder="1" applyAlignment="1">
      <alignment horizontal="center" vertical="top" shrinkToFit="1"/>
    </xf>
    <xf numFmtId="9" fontId="7" fillId="26" borderId="69" xfId="1" applyFont="1" applyFill="1" applyBorder="1" applyAlignment="1">
      <alignment horizontal="center" vertical="top" shrinkToFit="1"/>
    </xf>
    <xf numFmtId="9" fontId="7" fillId="0" borderId="69" xfId="1" applyFont="1" applyFill="1" applyBorder="1" applyAlignment="1">
      <alignment horizontal="center" vertical="top" shrinkToFit="1"/>
    </xf>
    <xf numFmtId="1" fontId="7" fillId="0" borderId="33" xfId="0" applyNumberFormat="1" applyFont="1" applyBorder="1" applyAlignment="1">
      <alignment horizontal="right" vertical="top" shrinkToFit="1"/>
    </xf>
    <xf numFmtId="0" fontId="0" fillId="0" borderId="33" xfId="0" applyBorder="1"/>
    <xf numFmtId="3" fontId="7" fillId="0" borderId="1" xfId="0" applyNumberFormat="1" applyFont="1" applyBorder="1" applyAlignment="1">
      <alignment vertical="top" shrinkToFit="1"/>
    </xf>
    <xf numFmtId="3" fontId="7" fillId="3" borderId="3" xfId="0" applyNumberFormat="1" applyFont="1" applyFill="1" applyBorder="1" applyAlignment="1">
      <alignment vertical="top" shrinkToFit="1"/>
    </xf>
    <xf numFmtId="3" fontId="7" fillId="4" borderId="3" xfId="0" applyNumberFormat="1" applyFont="1" applyFill="1" applyBorder="1" applyAlignment="1">
      <alignment horizontal="right" vertical="top" indent="1" shrinkToFit="1"/>
    </xf>
    <xf numFmtId="9" fontId="7" fillId="4" borderId="4" xfId="0" applyNumberFormat="1" applyFont="1" applyFill="1" applyBorder="1" applyAlignment="1">
      <alignment vertical="top" shrinkToFit="1"/>
    </xf>
    <xf numFmtId="9" fontId="7" fillId="5" borderId="3" xfId="1" applyFont="1" applyFill="1" applyBorder="1" applyAlignment="1">
      <alignment horizontal="right" vertical="top" indent="1" shrinkToFit="1"/>
    </xf>
    <xf numFmtId="9" fontId="0" fillId="0" borderId="12" xfId="1" applyFont="1" applyBorder="1" applyAlignment="1"/>
    <xf numFmtId="9" fontId="0" fillId="35" borderId="0" xfId="0" applyNumberFormat="1" applyFill="1"/>
    <xf numFmtId="9" fontId="0" fillId="35" borderId="9" xfId="0" applyNumberFormat="1" applyFill="1" applyBorder="1"/>
    <xf numFmtId="166" fontId="0" fillId="0" borderId="0" xfId="12" applyFont="1" applyFill="1"/>
    <xf numFmtId="178" fontId="0" fillId="8" borderId="70" xfId="12" applyNumberFormat="1" applyFont="1" applyFill="1" applyBorder="1"/>
    <xf numFmtId="0" fontId="0" fillId="0" borderId="70" xfId="0" applyBorder="1" applyAlignment="1">
      <alignment horizontal="center"/>
    </xf>
    <xf numFmtId="0" fontId="73" fillId="0" borderId="70" xfId="0" applyFont="1" applyBorder="1" applyAlignment="1">
      <alignment horizontal="center"/>
    </xf>
    <xf numFmtId="168" fontId="0" fillId="8" borderId="0" xfId="1" applyNumberFormat="1" applyFont="1" applyFill="1" applyBorder="1" applyAlignment="1"/>
    <xf numFmtId="168" fontId="0" fillId="6" borderId="14" xfId="1" applyNumberFormat="1" applyFont="1" applyFill="1" applyBorder="1" applyAlignment="1"/>
    <xf numFmtId="178" fontId="0" fillId="29" borderId="0" xfId="12" applyNumberFormat="1" applyFont="1" applyFill="1"/>
    <xf numFmtId="178" fontId="0" fillId="30" borderId="14" xfId="12" applyNumberFormat="1" applyFont="1" applyFill="1" applyBorder="1"/>
    <xf numFmtId="178" fontId="0" fillId="30" borderId="71" xfId="12" applyNumberFormat="1" applyFont="1" applyFill="1" applyBorder="1"/>
    <xf numFmtId="178" fontId="0" fillId="0" borderId="0" xfId="0" applyNumberFormat="1"/>
    <xf numFmtId="180" fontId="0" fillId="0" borderId="0" xfId="13" applyNumberFormat="1" applyFont="1" applyAlignment="1"/>
    <xf numFmtId="164" fontId="0" fillId="0" borderId="0" xfId="13" applyNumberFormat="1" applyFont="1"/>
    <xf numFmtId="164" fontId="0" fillId="0" borderId="0" xfId="0" applyNumberFormat="1"/>
    <xf numFmtId="0" fontId="74" fillId="0" borderId="0" xfId="0" applyFont="1"/>
    <xf numFmtId="180" fontId="0" fillId="0" borderId="0" xfId="0" applyNumberFormat="1"/>
    <xf numFmtId="173" fontId="12" fillId="6" borderId="0" xfId="0" applyNumberFormat="1" applyFont="1" applyFill="1"/>
    <xf numFmtId="1" fontId="0" fillId="0" borderId="9" xfId="11" applyNumberFormat="1" applyFont="1" applyBorder="1"/>
    <xf numFmtId="0" fontId="11" fillId="0" borderId="0" xfId="0" applyFont="1" applyAlignment="1">
      <alignment horizontal="left" wrapText="1"/>
    </xf>
    <xf numFmtId="0" fontId="0" fillId="0" borderId="0" xfId="0" applyAlignment="1">
      <alignment horizontal="left" wrapText="1"/>
    </xf>
    <xf numFmtId="0" fontId="16" fillId="0" borderId="0" xfId="3" applyFont="1" applyAlignment="1">
      <alignment horizontal="left" vertical="top" wrapText="1"/>
    </xf>
    <xf numFmtId="0" fontId="17" fillId="0" borderId="0" xfId="3" applyAlignment="1">
      <alignment wrapText="1"/>
    </xf>
    <xf numFmtId="0" fontId="17" fillId="0" borderId="0" xfId="3"/>
    <xf numFmtId="0" fontId="36" fillId="0" borderId="0" xfId="3" applyFont="1" applyAlignment="1">
      <alignment horizontal="left" vertical="top" wrapText="1"/>
    </xf>
    <xf numFmtId="0" fontId="37" fillId="0" borderId="0" xfId="3" applyFont="1" applyAlignment="1">
      <alignment wrapText="1"/>
    </xf>
    <xf numFmtId="0" fontId="16" fillId="0" borderId="0" xfId="3" applyFont="1" applyAlignment="1">
      <alignment horizontal="left" wrapText="1"/>
    </xf>
    <xf numFmtId="0" fontId="29" fillId="0" borderId="0" xfId="4" applyFont="1" applyAlignment="1">
      <alignment horizontal="left" vertical="top" wrapText="1"/>
    </xf>
    <xf numFmtId="0" fontId="23" fillId="0" borderId="0" xfId="4" applyFont="1" applyAlignment="1">
      <alignment horizontal="left" vertical="top" wrapText="1"/>
    </xf>
    <xf numFmtId="0" fontId="0" fillId="5" borderId="2" xfId="0" applyFill="1" applyBorder="1" applyAlignment="1">
      <alignment horizontal="center" vertical="top" wrapText="1"/>
    </xf>
    <xf numFmtId="0" fontId="0" fillId="5" borderId="3" xfId="0" applyFill="1" applyBorder="1" applyAlignment="1">
      <alignment horizontal="center" vertical="top" wrapText="1"/>
    </xf>
    <xf numFmtId="0" fontId="0" fillId="2" borderId="2" xfId="0" applyFill="1" applyBorder="1" applyAlignment="1">
      <alignment horizontal="center" vertical="top" wrapText="1"/>
    </xf>
    <xf numFmtId="0" fontId="0" fillId="2" borderId="4" xfId="0" applyFill="1" applyBorder="1" applyAlignment="1">
      <alignment horizontal="center" vertical="top" wrapText="1"/>
    </xf>
    <xf numFmtId="0" fontId="0" fillId="3" borderId="2" xfId="0" applyFill="1" applyBorder="1" applyAlignment="1">
      <alignment horizontal="center" vertical="top" wrapText="1"/>
    </xf>
    <xf numFmtId="0" fontId="0" fillId="3" borderId="4" xfId="0" applyFill="1" applyBorder="1" applyAlignment="1">
      <alignment horizontal="center" vertical="top" wrapText="1"/>
    </xf>
    <xf numFmtId="0" fontId="0" fillId="4" borderId="2" xfId="0" applyFill="1" applyBorder="1" applyAlignment="1">
      <alignment horizontal="center" vertical="top" wrapText="1"/>
    </xf>
    <xf numFmtId="0" fontId="0" fillId="4" borderId="3" xfId="0" applyFill="1" applyBorder="1" applyAlignment="1">
      <alignment horizontal="center" vertical="top" wrapText="1"/>
    </xf>
    <xf numFmtId="49" fontId="44" fillId="0" borderId="0" xfId="0" applyNumberFormat="1" applyFont="1" applyAlignment="1">
      <alignment horizontal="left" vertical="top" wrapText="1"/>
    </xf>
    <xf numFmtId="49" fontId="39" fillId="16" borderId="16" xfId="0" applyNumberFormat="1" applyFont="1" applyFill="1" applyBorder="1" applyAlignment="1">
      <alignment horizontal="left" vertical="center" wrapText="1"/>
    </xf>
    <xf numFmtId="49" fontId="39" fillId="16" borderId="18" xfId="0" applyNumberFormat="1" applyFont="1" applyFill="1" applyBorder="1" applyAlignment="1">
      <alignment horizontal="left" vertical="center" wrapText="1"/>
    </xf>
    <xf numFmtId="49" fontId="39" fillId="16" borderId="26" xfId="0" applyNumberFormat="1" applyFont="1" applyFill="1" applyBorder="1" applyAlignment="1">
      <alignment horizontal="left" vertical="center" wrapText="1"/>
    </xf>
    <xf numFmtId="49" fontId="39" fillId="16" borderId="27" xfId="0" applyNumberFormat="1" applyFont="1" applyFill="1" applyBorder="1" applyAlignment="1">
      <alignment horizontal="left" vertical="center" wrapText="1"/>
    </xf>
    <xf numFmtId="49" fontId="39" fillId="16" borderId="22" xfId="0" applyNumberFormat="1" applyFont="1" applyFill="1" applyBorder="1" applyAlignment="1">
      <alignment horizontal="left" vertical="center" wrapText="1"/>
    </xf>
    <xf numFmtId="49" fontId="39" fillId="16" borderId="24" xfId="0" applyNumberFormat="1" applyFont="1" applyFill="1" applyBorder="1" applyAlignment="1">
      <alignment horizontal="left" vertical="center" wrapText="1"/>
    </xf>
    <xf numFmtId="49" fontId="43" fillId="19" borderId="16" xfId="0" applyNumberFormat="1" applyFont="1" applyFill="1" applyBorder="1" applyAlignment="1">
      <alignment horizontal="left" vertical="center" wrapText="1"/>
    </xf>
    <xf numFmtId="49" fontId="43" fillId="19" borderId="18" xfId="0" applyNumberFormat="1" applyFont="1" applyFill="1" applyBorder="1" applyAlignment="1">
      <alignment horizontal="left" vertical="center" wrapText="1"/>
    </xf>
    <xf numFmtId="49" fontId="43" fillId="19" borderId="26" xfId="0" applyNumberFormat="1" applyFont="1" applyFill="1" applyBorder="1" applyAlignment="1">
      <alignment horizontal="left" vertical="center" wrapText="1"/>
    </xf>
    <xf numFmtId="49" fontId="43" fillId="19" borderId="27" xfId="0" applyNumberFormat="1" applyFont="1" applyFill="1" applyBorder="1" applyAlignment="1">
      <alignment horizontal="left" vertical="center" wrapText="1"/>
    </xf>
    <xf numFmtId="49" fontId="43" fillId="19" borderId="22" xfId="0" applyNumberFormat="1" applyFont="1" applyFill="1" applyBorder="1" applyAlignment="1">
      <alignment horizontal="left" vertical="center" wrapText="1"/>
    </xf>
    <xf numFmtId="49" fontId="43" fillId="19" borderId="24" xfId="0" applyNumberFormat="1" applyFont="1" applyFill="1" applyBorder="1" applyAlignment="1">
      <alignment horizontal="left" vertical="center" wrapText="1"/>
    </xf>
    <xf numFmtId="0" fontId="44" fillId="0" borderId="0" xfId="0" applyFont="1" applyAlignment="1">
      <alignment wrapText="1"/>
    </xf>
    <xf numFmtId="0" fontId="51" fillId="0" borderId="0" xfId="0" applyFont="1" applyAlignment="1">
      <alignment horizontal="left" wrapText="1"/>
    </xf>
    <xf numFmtId="49" fontId="39" fillId="13" borderId="16" xfId="0" applyNumberFormat="1" applyFont="1" applyFill="1" applyBorder="1" applyAlignment="1">
      <alignment horizontal="center" vertical="center" wrapText="1"/>
    </xf>
    <xf numFmtId="49" fontId="39" fillId="13" borderId="17" xfId="0" applyNumberFormat="1" applyFont="1" applyFill="1" applyBorder="1" applyAlignment="1">
      <alignment horizontal="center" vertical="center" wrapText="1"/>
    </xf>
    <xf numFmtId="49" fontId="39" fillId="13" borderId="18" xfId="0" applyNumberFormat="1" applyFont="1" applyFill="1" applyBorder="1" applyAlignment="1">
      <alignment horizontal="center" vertical="center" wrapText="1"/>
    </xf>
    <xf numFmtId="49" fontId="39" fillId="13" borderId="22" xfId="0" applyNumberFormat="1" applyFont="1" applyFill="1" applyBorder="1" applyAlignment="1">
      <alignment horizontal="center" vertical="center" wrapText="1"/>
    </xf>
    <xf numFmtId="49" fontId="39" fillId="13" borderId="23" xfId="0" applyNumberFormat="1" applyFont="1" applyFill="1" applyBorder="1" applyAlignment="1">
      <alignment horizontal="center" vertical="center" wrapText="1"/>
    </xf>
    <xf numFmtId="49" fontId="39" fillId="13" borderId="24" xfId="0" applyNumberFormat="1" applyFont="1" applyFill="1" applyBorder="1" applyAlignment="1">
      <alignment horizontal="center" vertical="center" wrapText="1"/>
    </xf>
    <xf numFmtId="49" fontId="39" fillId="13" borderId="19" xfId="0" applyNumberFormat="1" applyFont="1" applyFill="1" applyBorder="1" applyAlignment="1">
      <alignment horizontal="center" vertical="center" wrapText="1"/>
    </xf>
    <xf numFmtId="49" fontId="39" fillId="13" borderId="20" xfId="0" applyNumberFormat="1" applyFont="1" applyFill="1" applyBorder="1" applyAlignment="1">
      <alignment horizontal="center" vertical="center" wrapText="1"/>
    </xf>
    <xf numFmtId="49" fontId="39" fillId="13" borderId="21" xfId="0" applyNumberFormat="1" applyFont="1" applyFill="1" applyBorder="1" applyAlignment="1">
      <alignment horizontal="center" vertical="center" wrapText="1"/>
    </xf>
    <xf numFmtId="49" fontId="39" fillId="14" borderId="19" xfId="0" applyNumberFormat="1" applyFont="1" applyFill="1" applyBorder="1" applyAlignment="1">
      <alignment horizontal="center" vertical="center" wrapText="1"/>
    </xf>
    <xf numFmtId="49" fontId="39" fillId="14" borderId="20" xfId="0" applyNumberFormat="1" applyFont="1" applyFill="1" applyBorder="1" applyAlignment="1">
      <alignment horizontal="center" vertical="center" wrapText="1"/>
    </xf>
    <xf numFmtId="49" fontId="39" fillId="14" borderId="21" xfId="0" applyNumberFormat="1" applyFont="1" applyFill="1" applyBorder="1" applyAlignment="1">
      <alignment horizontal="center" vertical="center" wrapText="1"/>
    </xf>
    <xf numFmtId="49" fontId="39" fillId="16" borderId="19" xfId="0" applyNumberFormat="1" applyFont="1" applyFill="1" applyBorder="1" applyAlignment="1">
      <alignment horizontal="left" vertical="center" wrapText="1"/>
    </xf>
    <xf numFmtId="49" fontId="39" fillId="16" borderId="21" xfId="0" applyNumberFormat="1" applyFont="1" applyFill="1" applyBorder="1" applyAlignment="1">
      <alignment horizontal="left" vertical="center" wrapText="1"/>
    </xf>
    <xf numFmtId="49" fontId="41" fillId="17" borderId="19" xfId="0" applyNumberFormat="1" applyFont="1" applyFill="1" applyBorder="1" applyAlignment="1">
      <alignment horizontal="left" vertical="center" wrapText="1"/>
    </xf>
    <xf numFmtId="49" fontId="41" fillId="17" borderId="20" xfId="0" applyNumberFormat="1" applyFont="1" applyFill="1" applyBorder="1" applyAlignment="1">
      <alignment horizontal="left" vertical="center" wrapText="1"/>
    </xf>
    <xf numFmtId="49" fontId="41" fillId="17" borderId="21" xfId="0" applyNumberFormat="1" applyFont="1" applyFill="1" applyBorder="1" applyAlignment="1">
      <alignment horizontal="left" vertical="center" wrapText="1"/>
    </xf>
    <xf numFmtId="0" fontId="34" fillId="0" borderId="0" xfId="0" applyFont="1" applyAlignment="1">
      <alignment horizontal="left"/>
    </xf>
    <xf numFmtId="0" fontId="0" fillId="29" borderId="5" xfId="0" applyFill="1" applyBorder="1" applyAlignment="1">
      <alignment horizontal="center"/>
    </xf>
    <xf numFmtId="0" fontId="0" fillId="29" borderId="7" xfId="0" applyFill="1" applyBorder="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59" fillId="29" borderId="31" xfId="0" applyFont="1" applyFill="1" applyBorder="1" applyAlignment="1">
      <alignment horizontal="center" wrapText="1"/>
    </xf>
    <xf numFmtId="0" fontId="59" fillId="29" borderId="32" xfId="0" applyFont="1" applyFill="1" applyBorder="1" applyAlignment="1">
      <alignment horizontal="center" wrapText="1"/>
    </xf>
    <xf numFmtId="0" fontId="59" fillId="29" borderId="43" xfId="0" applyFont="1" applyFill="1" applyBorder="1" applyAlignment="1">
      <alignment horizontal="center" wrapText="1"/>
    </xf>
    <xf numFmtId="0" fontId="60" fillId="29" borderId="28" xfId="0" applyFont="1" applyFill="1" applyBorder="1" applyAlignment="1">
      <alignment horizontal="center" wrapText="1"/>
    </xf>
    <xf numFmtId="0" fontId="60" fillId="29" borderId="29" xfId="0" applyFont="1" applyFill="1" applyBorder="1" applyAlignment="1">
      <alignment horizontal="center" wrapText="1"/>
    </xf>
    <xf numFmtId="0" fontId="60" fillId="29" borderId="30" xfId="0" applyFont="1" applyFill="1" applyBorder="1" applyAlignment="1">
      <alignment horizontal="center" wrapText="1"/>
    </xf>
    <xf numFmtId="174" fontId="60" fillId="0" borderId="0" xfId="9" applyNumberFormat="1" applyFont="1" applyFill="1" applyAlignment="1">
      <alignment horizontal="center" vertical="center" wrapText="1"/>
    </xf>
    <xf numFmtId="174" fontId="60" fillId="29" borderId="0" xfId="9" applyNumberFormat="1" applyFont="1" applyFill="1" applyAlignment="1">
      <alignment horizontal="center" vertical="center" wrapText="1"/>
    </xf>
    <xf numFmtId="164" fontId="60" fillId="29" borderId="9" xfId="9" applyFont="1" applyFill="1" applyBorder="1" applyAlignment="1">
      <alignment horizontal="center" vertical="center" wrapText="1"/>
    </xf>
    <xf numFmtId="0" fontId="59" fillId="29" borderId="31" xfId="0" applyFont="1" applyFill="1" applyBorder="1" applyAlignment="1">
      <alignment horizontal="center" vertical="center" wrapText="1"/>
    </xf>
    <xf numFmtId="0" fontId="59" fillId="29" borderId="43" xfId="0" applyFont="1" applyFill="1" applyBorder="1" applyAlignment="1">
      <alignment horizontal="center" vertical="center"/>
    </xf>
    <xf numFmtId="0" fontId="60" fillId="29" borderId="34" xfId="0" applyFont="1" applyFill="1" applyBorder="1" applyAlignment="1">
      <alignment horizontal="center" wrapText="1"/>
    </xf>
    <xf numFmtId="0" fontId="60" fillId="29" borderId="40" xfId="0" applyFont="1" applyFill="1" applyBorder="1" applyAlignment="1">
      <alignment horizontal="center" wrapText="1"/>
    </xf>
    <xf numFmtId="0" fontId="60" fillId="29" borderId="35" xfId="0" applyFont="1" applyFill="1" applyBorder="1" applyAlignment="1">
      <alignment horizontal="center" wrapText="1"/>
    </xf>
    <xf numFmtId="0" fontId="60" fillId="29" borderId="44" xfId="0" applyFont="1" applyFill="1" applyBorder="1" applyAlignment="1">
      <alignment horizontal="center" wrapText="1"/>
    </xf>
    <xf numFmtId="0" fontId="60" fillId="29" borderId="36" xfId="0" applyFont="1" applyFill="1" applyBorder="1" applyAlignment="1">
      <alignment horizontal="center" wrapText="1"/>
    </xf>
    <xf numFmtId="0" fontId="60" fillId="29" borderId="37" xfId="0" applyFont="1" applyFill="1" applyBorder="1" applyAlignment="1">
      <alignment horizontal="center" wrapText="1"/>
    </xf>
    <xf numFmtId="0" fontId="60" fillId="29" borderId="38" xfId="0" applyFont="1" applyFill="1" applyBorder="1" applyAlignment="1">
      <alignment horizontal="center" wrapText="1"/>
    </xf>
    <xf numFmtId="0" fontId="60" fillId="29" borderId="39" xfId="0" applyFont="1" applyFill="1" applyBorder="1" applyAlignment="1">
      <alignment horizontal="center" wrapText="1"/>
    </xf>
    <xf numFmtId="0" fontId="60" fillId="29" borderId="41" xfId="0" applyFont="1" applyFill="1" applyBorder="1" applyAlignment="1">
      <alignment horizontal="center" wrapText="1"/>
    </xf>
    <xf numFmtId="0" fontId="60" fillId="29" borderId="42" xfId="0" applyFont="1" applyFill="1" applyBorder="1" applyAlignment="1">
      <alignment horizontal="center" wrapText="1"/>
    </xf>
    <xf numFmtId="0" fontId="60" fillId="29" borderId="45" xfId="0" applyFont="1" applyFill="1" applyBorder="1" applyAlignment="1">
      <alignment horizontal="center" wrapText="1"/>
    </xf>
    <xf numFmtId="174" fontId="60" fillId="29" borderId="0" xfId="9" applyNumberFormat="1" applyFont="1" applyFill="1" applyAlignment="1">
      <alignment horizontal="center" wrapText="1"/>
    </xf>
    <xf numFmtId="0" fontId="60" fillId="29" borderId="5" xfId="0" applyFont="1" applyFill="1" applyBorder="1" applyAlignment="1">
      <alignment horizontal="center" wrapText="1"/>
    </xf>
    <xf numFmtId="0" fontId="60" fillId="29" borderId="6" xfId="0" applyFont="1" applyFill="1" applyBorder="1" applyAlignment="1">
      <alignment horizontal="center" wrapText="1"/>
    </xf>
    <xf numFmtId="0" fontId="60" fillId="29" borderId="7" xfId="0" applyFont="1" applyFill="1" applyBorder="1" applyAlignment="1">
      <alignment horizontal="center" wrapText="1"/>
    </xf>
    <xf numFmtId="0" fontId="60" fillId="29" borderId="28" xfId="0" applyFont="1" applyFill="1" applyBorder="1" applyAlignment="1">
      <alignment horizontal="center"/>
    </xf>
    <xf numFmtId="0" fontId="60" fillId="29" borderId="29" xfId="0" applyFont="1" applyFill="1" applyBorder="1" applyAlignment="1">
      <alignment horizontal="center"/>
    </xf>
    <xf numFmtId="0" fontId="60" fillId="29" borderId="30" xfId="0" applyFont="1" applyFill="1" applyBorder="1" applyAlignment="1">
      <alignment horizontal="center"/>
    </xf>
    <xf numFmtId="174" fontId="60" fillId="29" borderId="9" xfId="9" applyNumberFormat="1" applyFont="1" applyFill="1" applyBorder="1" applyAlignment="1">
      <alignment horizontal="center" vertical="center" wrapText="1"/>
    </xf>
    <xf numFmtId="0" fontId="73" fillId="0" borderId="0" xfId="0" applyFont="1" applyAlignment="1">
      <alignment horizontal="center" vertical="top" wrapText="1"/>
    </xf>
    <xf numFmtId="0" fontId="73" fillId="0" borderId="70" xfId="0" applyFont="1" applyBorder="1" applyAlignment="1">
      <alignment horizontal="center" vertical="top" wrapText="1"/>
    </xf>
    <xf numFmtId="0" fontId="12" fillId="0" borderId="9" xfId="0" applyFont="1" applyBorder="1" applyAlignment="1">
      <alignment horizontal="center" wrapText="1"/>
    </xf>
    <xf numFmtId="0" fontId="12" fillId="0" borderId="0" xfId="0" applyFont="1" applyAlignment="1">
      <alignment horizontal="center"/>
    </xf>
    <xf numFmtId="0" fontId="0" fillId="4" borderId="0" xfId="0" applyFill="1" applyAlignment="1">
      <alignment horizontal="center" vertical="top" wrapText="1"/>
    </xf>
    <xf numFmtId="0" fontId="0" fillId="2" borderId="6" xfId="0" applyFill="1" applyBorder="1" applyAlignment="1">
      <alignment horizontal="center" vertical="top" wrapText="1"/>
    </xf>
    <xf numFmtId="0" fontId="0" fillId="3" borderId="6" xfId="0" applyFill="1" applyBorder="1" applyAlignment="1">
      <alignment horizontal="center" vertical="top" wrapText="1"/>
    </xf>
    <xf numFmtId="0" fontId="0" fillId="5" borderId="6" xfId="0" applyFill="1" applyBorder="1" applyAlignment="1">
      <alignment horizontal="center" vertical="top" wrapText="1"/>
    </xf>
    <xf numFmtId="0" fontId="0" fillId="2" borderId="0" xfId="0" applyFill="1" applyAlignment="1">
      <alignment horizontal="center" vertical="top" wrapText="1"/>
    </xf>
    <xf numFmtId="0" fontId="72" fillId="3" borderId="0" xfId="0" applyFont="1" applyFill="1" applyAlignment="1">
      <alignment horizontal="center" vertical="top" wrapText="1"/>
    </xf>
    <xf numFmtId="0" fontId="0" fillId="3" borderId="0" xfId="0" applyFill="1" applyAlignment="1">
      <alignment horizontal="center" vertical="top" wrapText="1"/>
    </xf>
    <xf numFmtId="0" fontId="0" fillId="5" borderId="0" xfId="0" applyFill="1" applyAlignment="1">
      <alignment horizontal="center" vertical="top" wrapText="1"/>
    </xf>
    <xf numFmtId="168" fontId="0" fillId="6" borderId="0" xfId="1" applyNumberFormat="1" applyFont="1" applyFill="1" applyBorder="1" applyAlignment="1">
      <alignment vertical="top"/>
    </xf>
    <xf numFmtId="168" fontId="0" fillId="6" borderId="9" xfId="1" applyNumberFormat="1" applyFont="1" applyFill="1" applyBorder="1" applyAlignment="1">
      <alignment vertical="top"/>
    </xf>
  </cellXfs>
  <cellStyles count="14">
    <cellStyle name="Comma" xfId="11" builtinId="3"/>
    <cellStyle name="Comma 2" xfId="12" xr:uid="{F3EF0A02-0BF2-F44B-B1F4-BD1E21C52048}"/>
    <cellStyle name="Currency" xfId="13" builtinId="4"/>
    <cellStyle name="Hyperlink" xfId="2" builtinId="8"/>
    <cellStyle name="Normal" xfId="0" builtinId="0"/>
    <cellStyle name="Percent" xfId="1" builtinId="5"/>
    <cellStyle name="百分比 2" xfId="10" xr:uid="{00000000-0005-0000-0000-000001000000}"/>
    <cellStyle name="常规 2" xfId="3" xr:uid="{00000000-0005-0000-0000-000003000000}"/>
    <cellStyle name="常规 3" xfId="4" xr:uid="{00000000-0005-0000-0000-000004000000}"/>
    <cellStyle name="常规 3 2" xfId="6" xr:uid="{00000000-0005-0000-0000-000005000000}"/>
    <cellStyle name="常规 4" xfId="7" xr:uid="{00000000-0005-0000-0000-000006000000}"/>
    <cellStyle name="常规 5" xfId="8" xr:uid="{00000000-0005-0000-0000-000007000000}"/>
    <cellStyle name="超链接 2" xfId="5" xr:uid="{00000000-0005-0000-0000-000009000000}"/>
    <cellStyle name="千位分隔 2" xfId="9" xr:uid="{00000000-0005-0000-0000-00000A000000}"/>
  </cellStyles>
  <dxfs count="0"/>
  <tableStyles count="0" defaultTableStyle="TableStyleMedium2" defaultPivotStyle="PivotStyleLight16"/>
  <colors>
    <mruColors>
      <color rgb="FFF6D218"/>
      <color rgb="FFF7CC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emissions form building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Building!$V$5</c:f>
              <c:strCache>
                <c:ptCount val="1"/>
                <c:pt idx="0">
                  <c:v>Residential</c:v>
                </c:pt>
              </c:strCache>
            </c:strRef>
          </c:tx>
          <c:spPr>
            <a:solidFill>
              <a:schemeClr val="accent1"/>
            </a:solidFill>
            <a:ln>
              <a:noFill/>
            </a:ln>
            <a:effectLst/>
          </c:spPr>
          <c:invertIfNegative val="0"/>
          <c:cat>
            <c:numRef>
              <c:f>Building!$W$4:$X$4</c:f>
              <c:numCache>
                <c:formatCode>General</c:formatCode>
                <c:ptCount val="2"/>
                <c:pt idx="0">
                  <c:v>2016</c:v>
                </c:pt>
                <c:pt idx="1">
                  <c:v>2050</c:v>
                </c:pt>
              </c:numCache>
            </c:numRef>
          </c:cat>
          <c:val>
            <c:numRef>
              <c:f>Building!$W$5:$X$5</c:f>
              <c:numCache>
                <c:formatCode>_(* #,##0_);_(* \(#,##0\);_(* "-"??_);_(@_)</c:formatCode>
                <c:ptCount val="2"/>
                <c:pt idx="0">
                  <c:v>0</c:v>
                </c:pt>
                <c:pt idx="1">
                  <c:v>138.12678197719634</c:v>
                </c:pt>
              </c:numCache>
            </c:numRef>
          </c:val>
          <c:extLst>
            <c:ext xmlns:c16="http://schemas.microsoft.com/office/drawing/2014/chart" uri="{C3380CC4-5D6E-409C-BE32-E72D297353CC}">
              <c16:uniqueId val="{00000000-FCA1-4E63-A7E9-2C8CB8D413D1}"/>
            </c:ext>
          </c:extLst>
        </c:ser>
        <c:ser>
          <c:idx val="1"/>
          <c:order val="1"/>
          <c:tx>
            <c:strRef>
              <c:f>Building!$V$6</c:f>
              <c:strCache>
                <c:ptCount val="1"/>
                <c:pt idx="0">
                  <c:v>Commercial</c:v>
                </c:pt>
              </c:strCache>
            </c:strRef>
          </c:tx>
          <c:spPr>
            <a:solidFill>
              <a:schemeClr val="accent2"/>
            </a:solidFill>
            <a:ln>
              <a:noFill/>
            </a:ln>
            <a:effectLst/>
          </c:spPr>
          <c:invertIfNegative val="0"/>
          <c:cat>
            <c:numRef>
              <c:f>Building!$W$4:$X$4</c:f>
              <c:numCache>
                <c:formatCode>General</c:formatCode>
                <c:ptCount val="2"/>
                <c:pt idx="0">
                  <c:v>2016</c:v>
                </c:pt>
                <c:pt idx="1">
                  <c:v>2050</c:v>
                </c:pt>
              </c:numCache>
            </c:numRef>
          </c:cat>
          <c:val>
            <c:numRef>
              <c:f>Building!$W$6:$X$6</c:f>
              <c:numCache>
                <c:formatCode>_(* #,##0_);_(* \(#,##0\);_(* "-"??_);_(@_)</c:formatCode>
                <c:ptCount val="2"/>
                <c:pt idx="0">
                  <c:v>0</c:v>
                </c:pt>
                <c:pt idx="1">
                  <c:v>209.22299843245273</c:v>
                </c:pt>
              </c:numCache>
            </c:numRef>
          </c:val>
          <c:extLst>
            <c:ext xmlns:c16="http://schemas.microsoft.com/office/drawing/2014/chart" uri="{C3380CC4-5D6E-409C-BE32-E72D297353CC}">
              <c16:uniqueId val="{00000001-FCA1-4E63-A7E9-2C8CB8D413D1}"/>
            </c:ext>
          </c:extLst>
        </c:ser>
        <c:ser>
          <c:idx val="2"/>
          <c:order val="2"/>
          <c:tx>
            <c:strRef>
              <c:f>Building!$V$7</c:f>
              <c:strCache>
                <c:ptCount val="1"/>
                <c:pt idx="0">
                  <c:v>Industrial</c:v>
                </c:pt>
              </c:strCache>
            </c:strRef>
          </c:tx>
          <c:spPr>
            <a:solidFill>
              <a:schemeClr val="accent3"/>
            </a:solidFill>
            <a:ln>
              <a:noFill/>
            </a:ln>
            <a:effectLst/>
          </c:spPr>
          <c:invertIfNegative val="0"/>
          <c:cat>
            <c:numRef>
              <c:f>Building!$W$4:$X$4</c:f>
              <c:numCache>
                <c:formatCode>General</c:formatCode>
                <c:ptCount val="2"/>
                <c:pt idx="0">
                  <c:v>2016</c:v>
                </c:pt>
                <c:pt idx="1">
                  <c:v>2050</c:v>
                </c:pt>
              </c:numCache>
            </c:numRef>
          </c:cat>
          <c:val>
            <c:numRef>
              <c:f>Building!$W$7:$X$7</c:f>
              <c:numCache>
                <c:formatCode>_(* #,##0_);_(* \(#,##0\);_(* "-"??_);_(@_)</c:formatCode>
                <c:ptCount val="2"/>
                <c:pt idx="0">
                  <c:v>0</c:v>
                </c:pt>
                <c:pt idx="1">
                  <c:v>28.11811987628359</c:v>
                </c:pt>
              </c:numCache>
            </c:numRef>
          </c:val>
          <c:extLst>
            <c:ext xmlns:c16="http://schemas.microsoft.com/office/drawing/2014/chart" uri="{C3380CC4-5D6E-409C-BE32-E72D297353CC}">
              <c16:uniqueId val="{00000002-FCA1-4E63-A7E9-2C8CB8D413D1}"/>
            </c:ext>
          </c:extLst>
        </c:ser>
        <c:dLbls>
          <c:showLegendKey val="0"/>
          <c:showVal val="0"/>
          <c:showCatName val="0"/>
          <c:showSerName val="0"/>
          <c:showPercent val="0"/>
          <c:showBubbleSize val="0"/>
        </c:dLbls>
        <c:gapWidth val="219"/>
        <c:overlap val="100"/>
        <c:axId val="1558183503"/>
        <c:axId val="1559114383"/>
      </c:barChart>
      <c:catAx>
        <c:axId val="15581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14383"/>
        <c:crosses val="autoZero"/>
        <c:auto val="1"/>
        <c:lblAlgn val="ctr"/>
        <c:lblOffset val="100"/>
        <c:noMultiLvlLbl val="0"/>
      </c:catAx>
      <c:valAx>
        <c:axId val="155911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millin tonCO2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18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4803149606299213" l="0.70866141732283472" r="0.70866141732283472" t="0.74803149606299213" header="0.31496062992125984" footer="0.31496062992125984"/>
    <c:pageSetup paperSize="8"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8.5199366053684181E-2"/>
                  <c:y val="0.20039301008426577"/>
                </c:manualLayout>
              </c:layout>
              <c:numFmt formatCode="#,##0.000000000_);[Red]\(#,##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AA33-4014-8060-D13EBDCBB1BF}"/>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5199366053684181E-2"/>
                  <c:y val="0.20039301008426577"/>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8D7D-4D83-AF68-F4515335CC5C}"/>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033030615582001E-2"/>
          <c:y val="0.16267543859649125"/>
          <c:w val="0.8620532816784483"/>
          <c:h val="0.73557777317309025"/>
        </c:manualLayout>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8.5199366053684181E-2"/>
                  <c:y val="0.200393010084265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0B74-4275-989F-32B1B15131DE}"/>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'Future Type Share'!$C$6</c:f>
              <c:strCache>
                <c:ptCount val="1"/>
                <c:pt idx="0">
                  <c:v>Private</c:v>
                </c:pt>
              </c:strCache>
            </c:strRef>
          </c:tx>
          <c:spPr>
            <a:ln w="28575" cap="rnd">
              <a:solidFill>
                <a:schemeClr val="accent1"/>
              </a:solidFill>
              <a:round/>
            </a:ln>
            <a:effectLst/>
          </c:spPr>
          <c:marker>
            <c:symbol val="none"/>
          </c:marker>
          <c:cat>
            <c:numRef>
              <c:f>'Future Type Share'!$B$7:$B$51</c:f>
              <c:numCache>
                <c:formatCode>General</c:formatCode>
                <c:ptCount val="4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pt idx="26">
                  <c:v>2032</c:v>
                </c:pt>
                <c:pt idx="27">
                  <c:v>2033</c:v>
                </c:pt>
                <c:pt idx="28">
                  <c:v>2034</c:v>
                </c:pt>
                <c:pt idx="29">
                  <c:v>2035</c:v>
                </c:pt>
                <c:pt idx="30">
                  <c:v>2036</c:v>
                </c:pt>
                <c:pt idx="31">
                  <c:v>2037</c:v>
                </c:pt>
                <c:pt idx="32">
                  <c:v>2038</c:v>
                </c:pt>
                <c:pt idx="33">
                  <c:v>2039</c:v>
                </c:pt>
                <c:pt idx="34">
                  <c:v>2040</c:v>
                </c:pt>
                <c:pt idx="35">
                  <c:v>2041</c:v>
                </c:pt>
                <c:pt idx="36">
                  <c:v>2042</c:v>
                </c:pt>
                <c:pt idx="37">
                  <c:v>2043</c:v>
                </c:pt>
                <c:pt idx="38">
                  <c:v>2044</c:v>
                </c:pt>
                <c:pt idx="39">
                  <c:v>2045</c:v>
                </c:pt>
                <c:pt idx="40">
                  <c:v>2046</c:v>
                </c:pt>
                <c:pt idx="41">
                  <c:v>2047</c:v>
                </c:pt>
                <c:pt idx="42">
                  <c:v>2048</c:v>
                </c:pt>
                <c:pt idx="43">
                  <c:v>2049</c:v>
                </c:pt>
                <c:pt idx="44">
                  <c:v>2050</c:v>
                </c:pt>
              </c:numCache>
            </c:numRef>
          </c:cat>
          <c:val>
            <c:numRef>
              <c:f>'Future Type Share'!$C$7:$C$51</c:f>
              <c:numCache>
                <c:formatCode>0</c:formatCode>
                <c:ptCount val="45"/>
                <c:pt idx="0">
                  <c:v>26211</c:v>
                </c:pt>
                <c:pt idx="1">
                  <c:v>26733</c:v>
                </c:pt>
                <c:pt idx="2">
                  <c:v>27701</c:v>
                </c:pt>
                <c:pt idx="3">
                  <c:v>28544</c:v>
                </c:pt>
                <c:pt idx="4">
                  <c:v>28730</c:v>
                </c:pt>
                <c:pt idx="5">
                  <c:v>29134</c:v>
                </c:pt>
                <c:pt idx="6">
                  <c:v>29324</c:v>
                </c:pt>
                <c:pt idx="7">
                  <c:v>28489</c:v>
                </c:pt>
                <c:pt idx="8">
                  <c:v>30548</c:v>
                </c:pt>
                <c:pt idx="9">
                  <c:v>29241</c:v>
                </c:pt>
                <c:pt idx="10">
                  <c:v>30489</c:v>
                </c:pt>
                <c:pt idx="11">
                  <c:v>30231</c:v>
                </c:pt>
                <c:pt idx="12">
                  <c:v>30241</c:v>
                </c:pt>
                <c:pt idx="13">
                  <c:v>30115</c:v>
                </c:pt>
                <c:pt idx="14">
                  <c:v>32856</c:v>
                </c:pt>
                <c:pt idx="15">
                  <c:v>32236</c:v>
                </c:pt>
                <c:pt idx="16">
                  <c:v>32254.93092270906</c:v>
                </c:pt>
                <c:pt idx="17">
                  <c:v>32587.991351763158</c:v>
                </c:pt>
                <c:pt idx="18">
                  <c:v>32900.815862824842</c:v>
                </c:pt>
                <c:pt idx="19">
                  <c:v>33175.582749798814</c:v>
                </c:pt>
                <c:pt idx="20">
                  <c:v>33469.529138022364</c:v>
                </c:pt>
                <c:pt idx="21">
                  <c:v>33786.837094474526</c:v>
                </c:pt>
                <c:pt idx="22">
                  <c:v>34123.315167083216</c:v>
                </c:pt>
                <c:pt idx="23">
                  <c:v>34465.341143398044</c:v>
                </c:pt>
                <c:pt idx="24">
                  <c:v>34806.684518175498</c:v>
                </c:pt>
                <c:pt idx="25">
                  <c:v>35136.972239922768</c:v>
                </c:pt>
                <c:pt idx="26">
                  <c:v>35463.711314723798</c:v>
                </c:pt>
                <c:pt idx="27">
                  <c:v>35790.451912787816</c:v>
                </c:pt>
                <c:pt idx="28">
                  <c:v>36118.98150106598</c:v>
                </c:pt>
                <c:pt idx="29">
                  <c:v>36455.222638713669</c:v>
                </c:pt>
                <c:pt idx="30">
                  <c:v>36755.250474104556</c:v>
                </c:pt>
                <c:pt idx="31">
                  <c:v>37058.164798782207</c:v>
                </c:pt>
                <c:pt idx="32">
                  <c:v>37346.884930835251</c:v>
                </c:pt>
                <c:pt idx="33">
                  <c:v>37615.189375007612</c:v>
                </c:pt>
                <c:pt idx="34">
                  <c:v>37862.81124155139</c:v>
                </c:pt>
                <c:pt idx="35">
                  <c:v>38090.883558601585</c:v>
                </c:pt>
                <c:pt idx="36">
                  <c:v>38301.497399971893</c:v>
                </c:pt>
                <c:pt idx="37">
                  <c:v>38499.60275166051</c:v>
                </c:pt>
                <c:pt idx="38">
                  <c:v>38681.250592871926</c:v>
                </c:pt>
                <c:pt idx="39">
                  <c:v>38847.176323486885</c:v>
                </c:pt>
                <c:pt idx="40">
                  <c:v>38993.368091703866</c:v>
                </c:pt>
                <c:pt idx="41">
                  <c:v>39878.441224497576</c:v>
                </c:pt>
                <c:pt idx="42">
                  <c:v>40194.725133174899</c:v>
                </c:pt>
                <c:pt idx="43">
                  <c:v>40512.324104597021</c:v>
                </c:pt>
                <c:pt idx="44">
                  <c:v>40831.205112674317</c:v>
                </c:pt>
              </c:numCache>
            </c:numRef>
          </c:val>
          <c:smooth val="0"/>
          <c:extLst>
            <c:ext xmlns:c16="http://schemas.microsoft.com/office/drawing/2014/chart" uri="{C3380CC4-5D6E-409C-BE32-E72D297353CC}">
              <c16:uniqueId val="{00000000-4EF9-4B01-A51E-5A4082B9FC20}"/>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864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Commercial Total Energy 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'Future Type Share'!$E$6</c:f>
              <c:strCache>
                <c:ptCount val="1"/>
              </c:strCache>
            </c:strRef>
          </c:tx>
          <c:spPr>
            <a:ln w="28575" cap="rnd">
              <a:solidFill>
                <a:schemeClr val="accent4">
                  <a:lumMod val="60000"/>
                  <a:lumOff val="40000"/>
                </a:schemeClr>
              </a:solidFill>
              <a:round/>
            </a:ln>
            <a:effectLst/>
          </c:spPr>
          <c:marker>
            <c:symbol val="none"/>
          </c:marker>
          <c:cat>
            <c:numRef>
              <c:f>'Future Type Share'!$B$7:$B$51</c:f>
              <c:numCache>
                <c:formatCode>General</c:formatCode>
                <c:ptCount val="4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pt idx="26">
                  <c:v>2032</c:v>
                </c:pt>
                <c:pt idx="27">
                  <c:v>2033</c:v>
                </c:pt>
                <c:pt idx="28">
                  <c:v>2034</c:v>
                </c:pt>
                <c:pt idx="29">
                  <c:v>2035</c:v>
                </c:pt>
                <c:pt idx="30">
                  <c:v>2036</c:v>
                </c:pt>
                <c:pt idx="31">
                  <c:v>2037</c:v>
                </c:pt>
                <c:pt idx="32">
                  <c:v>2038</c:v>
                </c:pt>
                <c:pt idx="33">
                  <c:v>2039</c:v>
                </c:pt>
                <c:pt idx="34">
                  <c:v>2040</c:v>
                </c:pt>
                <c:pt idx="35">
                  <c:v>2041</c:v>
                </c:pt>
                <c:pt idx="36">
                  <c:v>2042</c:v>
                </c:pt>
                <c:pt idx="37">
                  <c:v>2043</c:v>
                </c:pt>
                <c:pt idx="38">
                  <c:v>2044</c:v>
                </c:pt>
                <c:pt idx="39">
                  <c:v>2045</c:v>
                </c:pt>
                <c:pt idx="40">
                  <c:v>2046</c:v>
                </c:pt>
                <c:pt idx="41">
                  <c:v>2047</c:v>
                </c:pt>
                <c:pt idx="42">
                  <c:v>2048</c:v>
                </c:pt>
                <c:pt idx="43">
                  <c:v>2049</c:v>
                </c:pt>
                <c:pt idx="44">
                  <c:v>2050</c:v>
                </c:pt>
              </c:numCache>
            </c:numRef>
          </c:cat>
          <c:val>
            <c:numRef>
              <c:f>'Future Type Share'!$E$7:$E$51</c:f>
              <c:numCache>
                <c:formatCode>General</c:formatCode>
                <c:ptCount val="45"/>
                <c:pt idx="0">
                  <c:v>111884</c:v>
                </c:pt>
                <c:pt idx="1">
                  <c:v>113914</c:v>
                </c:pt>
                <c:pt idx="2">
                  <c:v>113753</c:v>
                </c:pt>
                <c:pt idx="3">
                  <c:v>114297</c:v>
                </c:pt>
                <c:pt idx="4">
                  <c:v>116391</c:v>
                </c:pt>
                <c:pt idx="5">
                  <c:v>118558</c:v>
                </c:pt>
                <c:pt idx="6">
                  <c:v>120970</c:v>
                </c:pt>
                <c:pt idx="7">
                  <c:v>121215</c:v>
                </c:pt>
                <c:pt idx="8">
                  <c:v>122711</c:v>
                </c:pt>
                <c:pt idx="9">
                  <c:v>123674</c:v>
                </c:pt>
                <c:pt idx="10">
                  <c:v>123969</c:v>
                </c:pt>
                <c:pt idx="11" formatCode="0">
                  <c:v>120891.66920796278</c:v>
                </c:pt>
                <c:pt idx="12" formatCode="0">
                  <c:v>121325.33841592554</c:v>
                </c:pt>
                <c:pt idx="13" formatCode="0">
                  <c:v>121759.00762388816</c:v>
                </c:pt>
                <c:pt idx="14" formatCode="0">
                  <c:v>122192.67683185093</c:v>
                </c:pt>
                <c:pt idx="15" formatCode="0">
                  <c:v>123136.54510800513</c:v>
                </c:pt>
                <c:pt idx="16" formatCode="0">
                  <c:v>124080.4133841593</c:v>
                </c:pt>
                <c:pt idx="17" formatCode="0">
                  <c:v>125024.28166031349</c:v>
                </c:pt>
                <c:pt idx="18" formatCode="0">
                  <c:v>125968.14993646767</c:v>
                </c:pt>
                <c:pt idx="19" formatCode="0">
                  <c:v>126912.01821262186</c:v>
                </c:pt>
                <c:pt idx="20" formatCode="0">
                  <c:v>127855.88648877604</c:v>
                </c:pt>
                <c:pt idx="21" formatCode="0">
                  <c:v>128799.75476493021</c:v>
                </c:pt>
                <c:pt idx="22" formatCode="0">
                  <c:v>129743.62304108441</c:v>
                </c:pt>
                <c:pt idx="23" formatCode="0">
                  <c:v>130687.4913172386</c:v>
                </c:pt>
                <c:pt idx="24" formatCode="0">
                  <c:v>131631.35959339279</c:v>
                </c:pt>
                <c:pt idx="25" formatCode="0">
                  <c:v>132575.22786954694</c:v>
                </c:pt>
                <c:pt idx="26" formatCode="0">
                  <c:v>133519.09614570116</c:v>
                </c:pt>
                <c:pt idx="27" formatCode="0">
                  <c:v>134462.96442185534</c:v>
                </c:pt>
                <c:pt idx="28" formatCode="0">
                  <c:v>135406.8326980095</c:v>
                </c:pt>
                <c:pt idx="29" formatCode="0">
                  <c:v>136350.70097416369</c:v>
                </c:pt>
                <c:pt idx="30" formatCode="0">
                  <c:v>137294.56925031758</c:v>
                </c:pt>
                <c:pt idx="31" formatCode="0">
                  <c:v>138238.4375264718</c:v>
                </c:pt>
                <c:pt idx="32" formatCode="0">
                  <c:v>139182.30580262595</c:v>
                </c:pt>
                <c:pt idx="33" formatCode="0">
                  <c:v>140126.17407878014</c:v>
                </c:pt>
                <c:pt idx="34" formatCode="0">
                  <c:v>141070.04235493432</c:v>
                </c:pt>
                <c:pt idx="35" formatCode="0">
                  <c:v>142013.91063108851</c:v>
                </c:pt>
                <c:pt idx="36" formatCode="0">
                  <c:v>142957.7789072427</c:v>
                </c:pt>
                <c:pt idx="37" formatCode="0">
                  <c:v>143901.64718339688</c:v>
                </c:pt>
                <c:pt idx="38" formatCode="0">
                  <c:v>144845.51545955104</c:v>
                </c:pt>
                <c:pt idx="39" formatCode="0">
                  <c:v>145789.38373570525</c:v>
                </c:pt>
                <c:pt idx="40" formatCode="0">
                  <c:v>146733.25201185944</c:v>
                </c:pt>
                <c:pt idx="41" formatCode="0">
                  <c:v>147677.1202880136</c:v>
                </c:pt>
                <c:pt idx="42" formatCode="0">
                  <c:v>148620.98856416781</c:v>
                </c:pt>
                <c:pt idx="43" formatCode="0">
                  <c:v>149564.856840322</c:v>
                </c:pt>
                <c:pt idx="44" formatCode="0">
                  <c:v>150508.72511647618</c:v>
                </c:pt>
              </c:numCache>
            </c:numRef>
          </c:val>
          <c:smooth val="0"/>
          <c:extLst>
            <c:ext xmlns:c16="http://schemas.microsoft.com/office/drawing/2014/chart" uri="{C3380CC4-5D6E-409C-BE32-E72D297353CC}">
              <c16:uniqueId val="{00000000-ABC3-4540-923B-F293745F32DA}"/>
            </c:ext>
          </c:extLst>
        </c:ser>
        <c:dLbls>
          <c:showLegendKey val="0"/>
          <c:showVal val="0"/>
          <c:showCatName val="0"/>
          <c:showSerName val="0"/>
          <c:showPercent val="0"/>
          <c:showBubbleSize val="0"/>
        </c:dLbls>
        <c:smooth val="0"/>
        <c:axId val="181527552"/>
        <c:axId val="181528800"/>
      </c:lineChart>
      <c:catAx>
        <c:axId val="18152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81528800"/>
        <c:crosses val="autoZero"/>
        <c:auto val="1"/>
        <c:lblAlgn val="ctr"/>
        <c:lblOffset val="100"/>
        <c:noMultiLvlLbl val="0"/>
      </c:catAx>
      <c:valAx>
        <c:axId val="18152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81527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Public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'Future Type Share'!$D$6</c:f>
              <c:strCache>
                <c:ptCount val="1"/>
                <c:pt idx="0">
                  <c:v>Public</c:v>
                </c:pt>
              </c:strCache>
            </c:strRef>
          </c:tx>
          <c:spPr>
            <a:ln w="28575" cap="rnd">
              <a:solidFill>
                <a:schemeClr val="accent1"/>
              </a:solidFill>
              <a:round/>
            </a:ln>
            <a:effectLst/>
          </c:spPr>
          <c:marker>
            <c:symbol val="none"/>
          </c:marker>
          <c:cat>
            <c:strRef>
              <c:f>'Future Type Share'!$B$6:$B$51</c:f>
              <c:strCache>
                <c:ptCount val="46"/>
                <c:pt idx="0">
                  <c:v>Year</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strCache>
            </c:strRef>
          </c:cat>
          <c:val>
            <c:numRef>
              <c:f>'Future Type Share'!$D$7:$D$51</c:f>
              <c:numCache>
                <c:formatCode>0</c:formatCode>
                <c:ptCount val="45"/>
                <c:pt idx="0">
                  <c:v>24967</c:v>
                </c:pt>
                <c:pt idx="1">
                  <c:v>25185</c:v>
                </c:pt>
                <c:pt idx="2">
                  <c:v>25533</c:v>
                </c:pt>
                <c:pt idx="3">
                  <c:v>26068</c:v>
                </c:pt>
                <c:pt idx="4">
                  <c:v>16152</c:v>
                </c:pt>
                <c:pt idx="5">
                  <c:v>16425</c:v>
                </c:pt>
                <c:pt idx="6">
                  <c:v>16866</c:v>
                </c:pt>
                <c:pt idx="7">
                  <c:v>16604</c:v>
                </c:pt>
                <c:pt idx="8">
                  <c:v>17371</c:v>
                </c:pt>
                <c:pt idx="9">
                  <c:v>16970</c:v>
                </c:pt>
                <c:pt idx="10">
                  <c:v>17190</c:v>
                </c:pt>
                <c:pt idx="11">
                  <c:v>16713</c:v>
                </c:pt>
                <c:pt idx="12">
                  <c:v>16925</c:v>
                </c:pt>
                <c:pt idx="13">
                  <c:v>16785</c:v>
                </c:pt>
                <c:pt idx="14">
                  <c:v>18119</c:v>
                </c:pt>
                <c:pt idx="15">
                  <c:v>18298</c:v>
                </c:pt>
                <c:pt idx="16">
                  <c:v>18667.051424466426</c:v>
                </c:pt>
                <c:pt idx="17">
                  <c:v>19225.251612034019</c:v>
                </c:pt>
                <c:pt idx="18">
                  <c:v>19782.280455038868</c:v>
                </c:pt>
                <c:pt idx="19">
                  <c:v>20326.682992531456</c:v>
                </c:pt>
                <c:pt idx="20">
                  <c:v>20893.026017411648</c:v>
                </c:pt>
                <c:pt idx="21">
                  <c:v>21484.784183033695</c:v>
                </c:pt>
                <c:pt idx="22">
                  <c:v>22100.221661363084</c:v>
                </c:pt>
                <c:pt idx="23">
                  <c:v>22731.202646985614</c:v>
                </c:pt>
                <c:pt idx="24">
                  <c:v>23373.918094232919</c:v>
                </c:pt>
                <c:pt idx="25">
                  <c:v>24021.432359192349</c:v>
                </c:pt>
                <c:pt idx="26">
                  <c:v>24678.747694487658</c:v>
                </c:pt>
                <c:pt idx="27">
                  <c:v>25348.43060918885</c:v>
                </c:pt>
                <c:pt idx="28">
                  <c:v>26031.955484561564</c:v>
                </c:pt>
                <c:pt idx="29">
                  <c:v>26733.923011174582</c:v>
                </c:pt>
                <c:pt idx="30">
                  <c:v>27422.051069223926</c:v>
                </c:pt>
                <c:pt idx="31">
                  <c:v>28124.817526874493</c:v>
                </c:pt>
                <c:pt idx="32">
                  <c:v>28829.340871077267</c:v>
                </c:pt>
                <c:pt idx="33">
                  <c:v>29530.373869492367</c:v>
                </c:pt>
                <c:pt idx="34">
                  <c:v>30227.085380840661</c:v>
                </c:pt>
                <c:pt idx="35">
                  <c:v>30919.753468724317</c:v>
                </c:pt>
                <c:pt idx="36">
                  <c:v>31609.494830111089</c:v>
                </c:pt>
                <c:pt idx="37">
                  <c:v>32299.926384145536</c:v>
                </c:pt>
                <c:pt idx="38">
                  <c:v>32987.338526527703</c:v>
                </c:pt>
                <c:pt idx="39">
                  <c:v>33671.853943558606</c:v>
                </c:pt>
                <c:pt idx="40">
                  <c:v>34349.444015518704</c:v>
                </c:pt>
                <c:pt idx="41">
                  <c:v>35698.531813537025</c:v>
                </c:pt>
                <c:pt idx="42">
                  <c:v>36561.793928597879</c:v>
                </c:pt>
                <c:pt idx="43">
                  <c:v>37441.742549198352</c:v>
                </c:pt>
                <c:pt idx="44">
                  <c:v>38338.657910289527</c:v>
                </c:pt>
              </c:numCache>
            </c:numRef>
          </c:val>
          <c:smooth val="0"/>
          <c:extLst>
            <c:ext xmlns:c16="http://schemas.microsoft.com/office/drawing/2014/chart" uri="{C3380CC4-5D6E-409C-BE32-E72D297353CC}">
              <c16:uniqueId val="{00000001-5BB8-473A-9FC5-487003037AFC}"/>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en-US"/>
          </a:p>
        </c:txPr>
        <c:crossAx val="1864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367396</xdr:colOff>
      <xdr:row>0</xdr:row>
      <xdr:rowOff>101600</xdr:rowOff>
    </xdr:from>
    <xdr:to>
      <xdr:col>14</xdr:col>
      <xdr:colOff>301064</xdr:colOff>
      <xdr:row>25</xdr:row>
      <xdr:rowOff>94481</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310996" y="101600"/>
          <a:ext cx="3235668" cy="4437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371683</xdr:colOff>
      <xdr:row>57</xdr:row>
      <xdr:rowOff>116215</xdr:rowOff>
    </xdr:from>
    <xdr:to>
      <xdr:col>16</xdr:col>
      <xdr:colOff>522078</xdr:colOff>
      <xdr:row>59</xdr:row>
      <xdr:rowOff>99504</xdr:rowOff>
    </xdr:to>
    <xdr:sp macro="" textlink="">
      <xdr:nvSpPr>
        <xdr:cNvPr id="2" name="右箭头 1">
          <a:extLst>
            <a:ext uri="{FF2B5EF4-FFF2-40B4-BE49-F238E27FC236}">
              <a16:creationId xmlns:a16="http://schemas.microsoft.com/office/drawing/2014/main" id="{00000000-0008-0000-0800-000002000000}"/>
            </a:ext>
          </a:extLst>
        </xdr:cNvPr>
        <xdr:cNvSpPr/>
      </xdr:nvSpPr>
      <xdr:spPr>
        <a:xfrm>
          <a:off x="11234031" y="8602124"/>
          <a:ext cx="814259" cy="3296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40189</xdr:colOff>
      <xdr:row>59</xdr:row>
      <xdr:rowOff>112532</xdr:rowOff>
    </xdr:from>
    <xdr:to>
      <xdr:col>16</xdr:col>
      <xdr:colOff>195334</xdr:colOff>
      <xdr:row>65</xdr:row>
      <xdr:rowOff>88514</xdr:rowOff>
    </xdr:to>
    <xdr:sp macro="" textlink="">
      <xdr:nvSpPr>
        <xdr:cNvPr id="2" name="右箭头 1">
          <a:extLst>
            <a:ext uri="{FF2B5EF4-FFF2-40B4-BE49-F238E27FC236}">
              <a16:creationId xmlns:a16="http://schemas.microsoft.com/office/drawing/2014/main" id="{00000000-0008-0000-0A00-000002000000}"/>
            </a:ext>
          </a:extLst>
        </xdr:cNvPr>
        <xdr:cNvSpPr/>
      </xdr:nvSpPr>
      <xdr:spPr>
        <a:xfrm>
          <a:off x="11060252" y="8954304"/>
          <a:ext cx="814259" cy="3296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743239</xdr:colOff>
      <xdr:row>27</xdr:row>
      <xdr:rowOff>135455</xdr:rowOff>
    </xdr:from>
    <xdr:to>
      <xdr:col>8</xdr:col>
      <xdr:colOff>519102</xdr:colOff>
      <xdr:row>48</xdr:row>
      <xdr:rowOff>151928</xdr:rowOff>
    </xdr:to>
    <xdr:pic>
      <xdr:nvPicPr>
        <xdr:cNvPr id="2" name="图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43239" y="4825796"/>
          <a:ext cx="8098674" cy="3804826"/>
        </a:xfrm>
        <a:prstGeom prst="rect">
          <a:avLst/>
        </a:prstGeom>
      </xdr:spPr>
    </xdr:pic>
    <xdr:clientData/>
  </xdr:twoCellAnchor>
  <xdr:twoCellAnchor editAs="oneCell">
    <xdr:from>
      <xdr:col>12</xdr:col>
      <xdr:colOff>158750</xdr:colOff>
      <xdr:row>28</xdr:row>
      <xdr:rowOff>149411</xdr:rowOff>
    </xdr:from>
    <xdr:to>
      <xdr:col>18</xdr:col>
      <xdr:colOff>408214</xdr:colOff>
      <xdr:row>43</xdr:row>
      <xdr:rowOff>71651</xdr:rowOff>
    </xdr:to>
    <xdr:pic>
      <xdr:nvPicPr>
        <xdr:cNvPr id="4" name="图片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9449405" y="4866554"/>
          <a:ext cx="4195535" cy="2643668"/>
        </a:xfrm>
        <a:prstGeom prst="rect">
          <a:avLst/>
        </a:prstGeom>
      </xdr:spPr>
    </xdr:pic>
    <xdr:clientData/>
  </xdr:twoCellAnchor>
  <xdr:twoCellAnchor editAs="oneCell">
    <xdr:from>
      <xdr:col>12</xdr:col>
      <xdr:colOff>268883</xdr:colOff>
      <xdr:row>44</xdr:row>
      <xdr:rowOff>143631</xdr:rowOff>
    </xdr:from>
    <xdr:to>
      <xdr:col>18</xdr:col>
      <xdr:colOff>269226</xdr:colOff>
      <xdr:row>54</xdr:row>
      <xdr:rowOff>175833</xdr:rowOff>
    </xdr:to>
    <xdr:pic>
      <xdr:nvPicPr>
        <xdr:cNvPr id="5" name="图片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a:stretch>
          <a:fillRect/>
        </a:stretch>
      </xdr:blipFill>
      <xdr:spPr>
        <a:xfrm>
          <a:off x="9559538" y="7763631"/>
          <a:ext cx="3946414" cy="1846487"/>
        </a:xfrm>
        <a:prstGeom prst="rect">
          <a:avLst/>
        </a:prstGeom>
      </xdr:spPr>
    </xdr:pic>
    <xdr:clientData/>
  </xdr:twoCellAnchor>
  <xdr:twoCellAnchor editAs="oneCell">
    <xdr:from>
      <xdr:col>1</xdr:col>
      <xdr:colOff>279702</xdr:colOff>
      <xdr:row>60</xdr:row>
      <xdr:rowOff>83154</xdr:rowOff>
    </xdr:from>
    <xdr:to>
      <xdr:col>9</xdr:col>
      <xdr:colOff>110854</xdr:colOff>
      <xdr:row>84</xdr:row>
      <xdr:rowOff>147915</xdr:rowOff>
    </xdr:to>
    <xdr:pic>
      <xdr:nvPicPr>
        <xdr:cNvPr id="6" name="图片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4"/>
        <a:stretch>
          <a:fillRect/>
        </a:stretch>
      </xdr:blipFill>
      <xdr:spPr>
        <a:xfrm>
          <a:off x="1950357" y="10606011"/>
          <a:ext cx="5533333" cy="4419048"/>
        </a:xfrm>
        <a:prstGeom prst="rect">
          <a:avLst/>
        </a:prstGeom>
      </xdr:spPr>
    </xdr:pic>
    <xdr:clientData/>
  </xdr:twoCellAnchor>
  <xdr:twoCellAnchor editAs="oneCell">
    <xdr:from>
      <xdr:col>0</xdr:col>
      <xdr:colOff>1005418</xdr:colOff>
      <xdr:row>57</xdr:row>
      <xdr:rowOff>22679</xdr:rowOff>
    </xdr:from>
    <xdr:to>
      <xdr:col>4</xdr:col>
      <xdr:colOff>70438</xdr:colOff>
      <xdr:row>58</xdr:row>
      <xdr:rowOff>174585</xdr:rowOff>
    </xdr:to>
    <xdr:pic>
      <xdr:nvPicPr>
        <xdr:cNvPr id="7" name="图片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5"/>
        <a:stretch>
          <a:fillRect/>
        </a:stretch>
      </xdr:blipFill>
      <xdr:spPr>
        <a:xfrm>
          <a:off x="1005418" y="10001250"/>
          <a:ext cx="4714286" cy="333333"/>
        </a:xfrm>
        <a:prstGeom prst="rect">
          <a:avLst/>
        </a:prstGeom>
      </xdr:spPr>
    </xdr:pic>
    <xdr:clientData/>
  </xdr:twoCellAnchor>
  <xdr:twoCellAnchor editAs="oneCell">
    <xdr:from>
      <xdr:col>15</xdr:col>
      <xdr:colOff>128512</xdr:colOff>
      <xdr:row>57</xdr:row>
      <xdr:rowOff>52917</xdr:rowOff>
    </xdr:from>
    <xdr:to>
      <xdr:col>21</xdr:col>
      <xdr:colOff>287202</xdr:colOff>
      <xdr:row>68</xdr:row>
      <xdr:rowOff>47679</xdr:rowOff>
    </xdr:to>
    <xdr:pic>
      <xdr:nvPicPr>
        <xdr:cNvPr id="8" name="图片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6"/>
        <a:stretch>
          <a:fillRect/>
        </a:stretch>
      </xdr:blipFill>
      <xdr:spPr>
        <a:xfrm>
          <a:off x="11392202" y="10031488"/>
          <a:ext cx="4104762" cy="1990476"/>
        </a:xfrm>
        <a:prstGeom prst="rect">
          <a:avLst/>
        </a:prstGeom>
      </xdr:spPr>
    </xdr:pic>
    <xdr:clientData/>
  </xdr:twoCellAnchor>
  <xdr:twoCellAnchor editAs="oneCell">
    <xdr:from>
      <xdr:col>0</xdr:col>
      <xdr:colOff>1610178</xdr:colOff>
      <xdr:row>87</xdr:row>
      <xdr:rowOff>113393</xdr:rowOff>
    </xdr:from>
    <xdr:to>
      <xdr:col>9</xdr:col>
      <xdr:colOff>1718</xdr:colOff>
      <xdr:row>126</xdr:row>
      <xdr:rowOff>151964</xdr:rowOff>
    </xdr:to>
    <xdr:pic>
      <xdr:nvPicPr>
        <xdr:cNvPr id="9" name="图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7"/>
        <a:stretch>
          <a:fillRect/>
        </a:stretch>
      </xdr:blipFill>
      <xdr:spPr>
        <a:xfrm>
          <a:off x="1610178" y="15716250"/>
          <a:ext cx="7295238" cy="71142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103419</xdr:colOff>
      <xdr:row>9</xdr:row>
      <xdr:rowOff>71438</xdr:rowOff>
    </xdr:from>
    <xdr:to>
      <xdr:col>23</xdr:col>
      <xdr:colOff>793050</xdr:colOff>
      <xdr:row>24</xdr:row>
      <xdr:rowOff>119063</xdr:rowOff>
    </xdr:to>
    <xdr:graphicFrame macro="">
      <xdr:nvGraphicFramePr>
        <xdr:cNvPr id="2" name="Chart 3">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43656</xdr:colOff>
      <xdr:row>10</xdr:row>
      <xdr:rowOff>87313</xdr:rowOff>
    </xdr:from>
    <xdr:to>
      <xdr:col>2</xdr:col>
      <xdr:colOff>536170</xdr:colOff>
      <xdr:row>23</xdr:row>
      <xdr:rowOff>65615</xdr:rowOff>
    </xdr:to>
    <xdr:pic>
      <xdr:nvPicPr>
        <xdr:cNvPr id="3" name="Picture 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43656" y="2538413"/>
          <a:ext cx="2981714" cy="2467502"/>
        </a:xfrm>
        <a:prstGeom prst="rect">
          <a:avLst/>
        </a:prstGeom>
      </xdr:spPr>
    </xdr:pic>
    <xdr:clientData/>
  </xdr:twoCellAnchor>
  <xdr:twoCellAnchor editAs="oneCell">
    <xdr:from>
      <xdr:col>3</xdr:col>
      <xdr:colOff>98426</xdr:colOff>
      <xdr:row>10</xdr:row>
      <xdr:rowOff>47686</xdr:rowOff>
    </xdr:from>
    <xdr:to>
      <xdr:col>8</xdr:col>
      <xdr:colOff>297640</xdr:colOff>
      <xdr:row>23</xdr:row>
      <xdr:rowOff>78594</xdr:rowOff>
    </xdr:to>
    <xdr:pic>
      <xdr:nvPicPr>
        <xdr:cNvPr id="4" name="Picture 5">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4079876" y="2498786"/>
          <a:ext cx="5520514" cy="252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41</xdr:col>
      <xdr:colOff>209550</xdr:colOff>
      <xdr:row>1</xdr:row>
      <xdr:rowOff>425450</xdr:rowOff>
    </xdr:from>
    <xdr:to>
      <xdr:col>43</xdr:col>
      <xdr:colOff>57150</xdr:colOff>
      <xdr:row>5</xdr:row>
      <xdr:rowOff>146050</xdr:rowOff>
    </xdr:to>
    <xdr:cxnSp macro="">
      <xdr:nvCxnSpPr>
        <xdr:cNvPr id="4" name="直接箭头连接符 3">
          <a:extLst>
            <a:ext uri="{FF2B5EF4-FFF2-40B4-BE49-F238E27FC236}">
              <a16:creationId xmlns:a16="http://schemas.microsoft.com/office/drawing/2014/main" id="{00000000-0008-0000-0E00-000004000000}"/>
            </a:ext>
          </a:extLst>
        </xdr:cNvPr>
        <xdr:cNvCxnSpPr/>
      </xdr:nvCxnSpPr>
      <xdr:spPr>
        <a:xfrm flipH="1" flipV="1">
          <a:off x="30283150" y="781050"/>
          <a:ext cx="1168400" cy="80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890067</xdr:colOff>
      <xdr:row>5</xdr:row>
      <xdr:rowOff>163285</xdr:rowOff>
    </xdr:from>
    <xdr:ext cx="813228" cy="665567"/>
    <xdr:sp macro="" textlink="">
      <xdr:nvSpPr>
        <xdr:cNvPr id="5" name="文本框 4">
          <a:extLst>
            <a:ext uri="{FF2B5EF4-FFF2-40B4-BE49-F238E27FC236}">
              <a16:creationId xmlns:a16="http://schemas.microsoft.com/office/drawing/2014/main" id="{00000000-0008-0000-0E00-000005000000}"/>
            </a:ext>
          </a:extLst>
        </xdr:cNvPr>
        <xdr:cNvSpPr txBox="1"/>
      </xdr:nvSpPr>
      <xdr:spPr>
        <a:xfrm>
          <a:off x="17646596" y="1605109"/>
          <a:ext cx="813228" cy="665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历史值</a:t>
          </a:r>
          <a:endParaRPr lang="en-US" altLang="zh-CN" sz="1100">
            <a:solidFill>
              <a:schemeClr val="accent4">
                <a:lumMod val="75000"/>
              </a:schemeClr>
            </a:solidFill>
          </a:endParaRPr>
        </a:p>
        <a:p>
          <a:r>
            <a:rPr lang="en-US" altLang="zh-CN" sz="1100">
              <a:solidFill>
                <a:schemeClr val="accent4">
                  <a:lumMod val="75000"/>
                </a:schemeClr>
              </a:solidFill>
            </a:rPr>
            <a:t>=</a:t>
          </a:r>
          <a:r>
            <a:rPr lang="zh-CN" altLang="en-US" sz="1100">
              <a:solidFill>
                <a:schemeClr val="accent4">
                  <a:lumMod val="75000"/>
                </a:schemeClr>
              </a:solidFill>
            </a:rPr>
            <a:t>历史能耗</a:t>
          </a:r>
          <a:r>
            <a:rPr lang="en-US" altLang="zh-CN" sz="1100">
              <a:solidFill>
                <a:schemeClr val="accent4">
                  <a:lumMod val="75000"/>
                </a:schemeClr>
              </a:solidFill>
            </a:rPr>
            <a:t>/</a:t>
          </a:r>
          <a:r>
            <a:rPr lang="zh-CN" altLang="en-US" sz="1100">
              <a:solidFill>
                <a:schemeClr val="accent4">
                  <a:lumMod val="75000"/>
                </a:schemeClr>
              </a:solidFill>
            </a:rPr>
            <a:t>人口</a:t>
          </a:r>
        </a:p>
      </xdr:txBody>
    </xdr:sp>
    <xdr:clientData/>
  </xdr:oneCellAnchor>
  <xdr:oneCellAnchor>
    <xdr:from>
      <xdr:col>25</xdr:col>
      <xdr:colOff>49389</xdr:colOff>
      <xdr:row>17</xdr:row>
      <xdr:rowOff>158246</xdr:rowOff>
    </xdr:from>
    <xdr:ext cx="689428" cy="283411"/>
    <xdr:sp macro="" textlink="">
      <xdr:nvSpPr>
        <xdr:cNvPr id="6" name="文本框 5">
          <a:extLst>
            <a:ext uri="{FF2B5EF4-FFF2-40B4-BE49-F238E27FC236}">
              <a16:creationId xmlns:a16="http://schemas.microsoft.com/office/drawing/2014/main" id="{00000000-0008-0000-0E00-000006000000}"/>
            </a:ext>
          </a:extLst>
        </xdr:cNvPr>
        <xdr:cNvSpPr txBox="1"/>
      </xdr:nvSpPr>
      <xdr:spPr>
        <a:xfrm>
          <a:off x="17716500" y="408113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26</xdr:col>
      <xdr:colOff>798820</xdr:colOff>
      <xdr:row>5</xdr:row>
      <xdr:rowOff>133934</xdr:rowOff>
    </xdr:from>
    <xdr:ext cx="822298" cy="665567"/>
    <xdr:sp macro="" textlink="">
      <xdr:nvSpPr>
        <xdr:cNvPr id="8" name="文本框 7">
          <a:extLst>
            <a:ext uri="{FF2B5EF4-FFF2-40B4-BE49-F238E27FC236}">
              <a16:creationId xmlns:a16="http://schemas.microsoft.com/office/drawing/2014/main" id="{00000000-0008-0000-0E00-000008000000}"/>
            </a:ext>
          </a:extLst>
        </xdr:cNvPr>
        <xdr:cNvSpPr txBox="1"/>
      </xdr:nvSpPr>
      <xdr:spPr>
        <a:xfrm>
          <a:off x="19721820" y="1575758"/>
          <a:ext cx="822298" cy="665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历史值</a:t>
          </a:r>
          <a:endParaRPr lang="en-US" altLang="zh-CN" sz="1100">
            <a:solidFill>
              <a:schemeClr val="accent4">
                <a:lumMod val="75000"/>
              </a:schemeClr>
            </a:solidFill>
          </a:endParaRPr>
        </a:p>
        <a:p>
          <a:r>
            <a:rPr lang="en-US" altLang="zh-CN" sz="1100">
              <a:solidFill>
                <a:schemeClr val="accent4">
                  <a:lumMod val="75000"/>
                </a:schemeClr>
              </a:solidFill>
            </a:rPr>
            <a:t>=</a:t>
          </a:r>
          <a:r>
            <a:rPr lang="zh-CN" altLang="en-US" sz="1100">
              <a:solidFill>
                <a:schemeClr val="accent4">
                  <a:lumMod val="75000"/>
                </a:schemeClr>
              </a:solidFill>
            </a:rPr>
            <a:t>历史能耗</a:t>
          </a:r>
          <a:r>
            <a:rPr lang="en-US" altLang="zh-CN" sz="1100">
              <a:solidFill>
                <a:schemeClr val="accent4">
                  <a:lumMod val="75000"/>
                </a:schemeClr>
              </a:solidFill>
            </a:rPr>
            <a:t>/</a:t>
          </a:r>
          <a:r>
            <a:rPr lang="zh-CN" altLang="en-US" sz="1100">
              <a:solidFill>
                <a:schemeClr val="accent4">
                  <a:lumMod val="75000"/>
                </a:schemeClr>
              </a:solidFill>
            </a:rPr>
            <a:t>人口</a:t>
          </a:r>
        </a:p>
      </xdr:txBody>
    </xdr:sp>
    <xdr:clientData/>
  </xdr:oneCellAnchor>
  <xdr:oneCellAnchor>
    <xdr:from>
      <xdr:col>27</xdr:col>
      <xdr:colOff>124986</xdr:colOff>
      <xdr:row>17</xdr:row>
      <xdr:rowOff>159255</xdr:rowOff>
    </xdr:from>
    <xdr:ext cx="689428" cy="283411"/>
    <xdr:sp macro="" textlink="">
      <xdr:nvSpPr>
        <xdr:cNvPr id="10" name="文本框 9">
          <a:extLst>
            <a:ext uri="{FF2B5EF4-FFF2-40B4-BE49-F238E27FC236}">
              <a16:creationId xmlns:a16="http://schemas.microsoft.com/office/drawing/2014/main" id="{00000000-0008-0000-0E00-00000A000000}"/>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18</xdr:row>
      <xdr:rowOff>159255</xdr:rowOff>
    </xdr:from>
    <xdr:ext cx="689428" cy="283411"/>
    <xdr:sp macro="" textlink="">
      <xdr:nvSpPr>
        <xdr:cNvPr id="2" name="文本框 9">
          <a:extLst>
            <a:ext uri="{FF2B5EF4-FFF2-40B4-BE49-F238E27FC236}">
              <a16:creationId xmlns:a16="http://schemas.microsoft.com/office/drawing/2014/main" id="{D6172230-0A6F-EF49-9F44-1F9F9C34BEC8}"/>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19</xdr:row>
      <xdr:rowOff>159255</xdr:rowOff>
    </xdr:from>
    <xdr:ext cx="689428" cy="283411"/>
    <xdr:sp macro="" textlink="">
      <xdr:nvSpPr>
        <xdr:cNvPr id="3" name="文本框 9">
          <a:extLst>
            <a:ext uri="{FF2B5EF4-FFF2-40B4-BE49-F238E27FC236}">
              <a16:creationId xmlns:a16="http://schemas.microsoft.com/office/drawing/2014/main" id="{5D2B05FD-E9E2-C045-AC12-0AB70F7CF15A}"/>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20</xdr:row>
      <xdr:rowOff>159255</xdr:rowOff>
    </xdr:from>
    <xdr:ext cx="689428" cy="283411"/>
    <xdr:sp macro="" textlink="">
      <xdr:nvSpPr>
        <xdr:cNvPr id="7" name="文本框 9">
          <a:extLst>
            <a:ext uri="{FF2B5EF4-FFF2-40B4-BE49-F238E27FC236}">
              <a16:creationId xmlns:a16="http://schemas.microsoft.com/office/drawing/2014/main" id="{437F2C22-A852-264C-9C3B-7323205AB21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21</xdr:row>
      <xdr:rowOff>159255</xdr:rowOff>
    </xdr:from>
    <xdr:ext cx="689428" cy="283411"/>
    <xdr:sp macro="" textlink="">
      <xdr:nvSpPr>
        <xdr:cNvPr id="9" name="文本框 9">
          <a:extLst>
            <a:ext uri="{FF2B5EF4-FFF2-40B4-BE49-F238E27FC236}">
              <a16:creationId xmlns:a16="http://schemas.microsoft.com/office/drawing/2014/main" id="{E183EA5E-34FA-0B40-B3E1-ADB8F14D3169}"/>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22</xdr:row>
      <xdr:rowOff>159255</xdr:rowOff>
    </xdr:from>
    <xdr:ext cx="689428" cy="283411"/>
    <xdr:sp macro="" textlink="">
      <xdr:nvSpPr>
        <xdr:cNvPr id="11" name="文本框 9">
          <a:extLst>
            <a:ext uri="{FF2B5EF4-FFF2-40B4-BE49-F238E27FC236}">
              <a16:creationId xmlns:a16="http://schemas.microsoft.com/office/drawing/2014/main" id="{6C2CF5FD-24F2-4044-9398-9BF788D81B3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23</xdr:row>
      <xdr:rowOff>159255</xdr:rowOff>
    </xdr:from>
    <xdr:ext cx="689428" cy="283411"/>
    <xdr:sp macro="" textlink="">
      <xdr:nvSpPr>
        <xdr:cNvPr id="12" name="文本框 9">
          <a:extLst>
            <a:ext uri="{FF2B5EF4-FFF2-40B4-BE49-F238E27FC236}">
              <a16:creationId xmlns:a16="http://schemas.microsoft.com/office/drawing/2014/main" id="{DC7ECA38-6FE5-8C44-96C4-86C9E2AA4DF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24</xdr:row>
      <xdr:rowOff>159255</xdr:rowOff>
    </xdr:from>
    <xdr:ext cx="689428" cy="283411"/>
    <xdr:sp macro="" textlink="">
      <xdr:nvSpPr>
        <xdr:cNvPr id="13" name="文本框 9">
          <a:extLst>
            <a:ext uri="{FF2B5EF4-FFF2-40B4-BE49-F238E27FC236}">
              <a16:creationId xmlns:a16="http://schemas.microsoft.com/office/drawing/2014/main" id="{D1E05FD9-A903-C94B-8E2A-12E4CCD09AB9}"/>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25</xdr:row>
      <xdr:rowOff>159255</xdr:rowOff>
    </xdr:from>
    <xdr:ext cx="689428" cy="283411"/>
    <xdr:sp macro="" textlink="">
      <xdr:nvSpPr>
        <xdr:cNvPr id="14" name="文本框 9">
          <a:extLst>
            <a:ext uri="{FF2B5EF4-FFF2-40B4-BE49-F238E27FC236}">
              <a16:creationId xmlns:a16="http://schemas.microsoft.com/office/drawing/2014/main" id="{A6092BCC-B41C-A944-B86A-1CF0ADC6EE3A}"/>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26</xdr:row>
      <xdr:rowOff>159255</xdr:rowOff>
    </xdr:from>
    <xdr:ext cx="689428" cy="283411"/>
    <xdr:sp macro="" textlink="">
      <xdr:nvSpPr>
        <xdr:cNvPr id="15" name="文本框 9">
          <a:extLst>
            <a:ext uri="{FF2B5EF4-FFF2-40B4-BE49-F238E27FC236}">
              <a16:creationId xmlns:a16="http://schemas.microsoft.com/office/drawing/2014/main" id="{E9C2CFAC-8080-7A49-A8F6-5D2FD3E110D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27</xdr:row>
      <xdr:rowOff>159255</xdr:rowOff>
    </xdr:from>
    <xdr:ext cx="689428" cy="283411"/>
    <xdr:sp macro="" textlink="">
      <xdr:nvSpPr>
        <xdr:cNvPr id="16" name="文本框 9">
          <a:extLst>
            <a:ext uri="{FF2B5EF4-FFF2-40B4-BE49-F238E27FC236}">
              <a16:creationId xmlns:a16="http://schemas.microsoft.com/office/drawing/2014/main" id="{EEB2C037-A63E-1D4E-AFBD-83752A16571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28</xdr:row>
      <xdr:rowOff>159255</xdr:rowOff>
    </xdr:from>
    <xdr:ext cx="689428" cy="283411"/>
    <xdr:sp macro="" textlink="">
      <xdr:nvSpPr>
        <xdr:cNvPr id="17" name="文本框 9">
          <a:extLst>
            <a:ext uri="{FF2B5EF4-FFF2-40B4-BE49-F238E27FC236}">
              <a16:creationId xmlns:a16="http://schemas.microsoft.com/office/drawing/2014/main" id="{56ADB703-4784-104B-9641-2C6717624CF5}"/>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29</xdr:row>
      <xdr:rowOff>159255</xdr:rowOff>
    </xdr:from>
    <xdr:ext cx="689428" cy="283411"/>
    <xdr:sp macro="" textlink="">
      <xdr:nvSpPr>
        <xdr:cNvPr id="18" name="文本框 9">
          <a:extLst>
            <a:ext uri="{FF2B5EF4-FFF2-40B4-BE49-F238E27FC236}">
              <a16:creationId xmlns:a16="http://schemas.microsoft.com/office/drawing/2014/main" id="{D3837FEB-7E7E-6C48-8FFD-B18BC11DC0A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30</xdr:row>
      <xdr:rowOff>159255</xdr:rowOff>
    </xdr:from>
    <xdr:ext cx="689428" cy="283411"/>
    <xdr:sp macro="" textlink="">
      <xdr:nvSpPr>
        <xdr:cNvPr id="19" name="文本框 9">
          <a:extLst>
            <a:ext uri="{FF2B5EF4-FFF2-40B4-BE49-F238E27FC236}">
              <a16:creationId xmlns:a16="http://schemas.microsoft.com/office/drawing/2014/main" id="{2148F16D-71D4-9845-B860-F20927325F78}"/>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31</xdr:row>
      <xdr:rowOff>159255</xdr:rowOff>
    </xdr:from>
    <xdr:ext cx="689428" cy="283411"/>
    <xdr:sp macro="" textlink="">
      <xdr:nvSpPr>
        <xdr:cNvPr id="20" name="文本框 9">
          <a:extLst>
            <a:ext uri="{FF2B5EF4-FFF2-40B4-BE49-F238E27FC236}">
              <a16:creationId xmlns:a16="http://schemas.microsoft.com/office/drawing/2014/main" id="{B4027DDF-869C-C843-A718-5F4A3CF0BC66}"/>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32</xdr:row>
      <xdr:rowOff>159255</xdr:rowOff>
    </xdr:from>
    <xdr:ext cx="689428" cy="283411"/>
    <xdr:sp macro="" textlink="">
      <xdr:nvSpPr>
        <xdr:cNvPr id="21" name="文本框 9">
          <a:extLst>
            <a:ext uri="{FF2B5EF4-FFF2-40B4-BE49-F238E27FC236}">
              <a16:creationId xmlns:a16="http://schemas.microsoft.com/office/drawing/2014/main" id="{8B25677D-3DD3-D64D-9B25-8B44D918BFF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33</xdr:row>
      <xdr:rowOff>159255</xdr:rowOff>
    </xdr:from>
    <xdr:ext cx="689428" cy="283411"/>
    <xdr:sp macro="" textlink="">
      <xdr:nvSpPr>
        <xdr:cNvPr id="22" name="文本框 9">
          <a:extLst>
            <a:ext uri="{FF2B5EF4-FFF2-40B4-BE49-F238E27FC236}">
              <a16:creationId xmlns:a16="http://schemas.microsoft.com/office/drawing/2014/main" id="{95357766-B1C8-6A4A-9D75-D9E3350894A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34</xdr:row>
      <xdr:rowOff>159255</xdr:rowOff>
    </xdr:from>
    <xdr:ext cx="689428" cy="283411"/>
    <xdr:sp macro="" textlink="">
      <xdr:nvSpPr>
        <xdr:cNvPr id="23" name="文本框 9">
          <a:extLst>
            <a:ext uri="{FF2B5EF4-FFF2-40B4-BE49-F238E27FC236}">
              <a16:creationId xmlns:a16="http://schemas.microsoft.com/office/drawing/2014/main" id="{C644B5BB-E4BE-7C41-9C13-2CA824B50560}"/>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35</xdr:row>
      <xdr:rowOff>159255</xdr:rowOff>
    </xdr:from>
    <xdr:ext cx="689428" cy="283411"/>
    <xdr:sp macro="" textlink="">
      <xdr:nvSpPr>
        <xdr:cNvPr id="24" name="文本框 9">
          <a:extLst>
            <a:ext uri="{FF2B5EF4-FFF2-40B4-BE49-F238E27FC236}">
              <a16:creationId xmlns:a16="http://schemas.microsoft.com/office/drawing/2014/main" id="{EB8592F3-D14A-CD40-A3C9-97CA2755CF2E}"/>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36</xdr:row>
      <xdr:rowOff>159255</xdr:rowOff>
    </xdr:from>
    <xdr:ext cx="689428" cy="283411"/>
    <xdr:sp macro="" textlink="">
      <xdr:nvSpPr>
        <xdr:cNvPr id="25" name="文本框 9">
          <a:extLst>
            <a:ext uri="{FF2B5EF4-FFF2-40B4-BE49-F238E27FC236}">
              <a16:creationId xmlns:a16="http://schemas.microsoft.com/office/drawing/2014/main" id="{9A11FD74-B193-5842-8D72-2D4634289687}"/>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37</xdr:row>
      <xdr:rowOff>159255</xdr:rowOff>
    </xdr:from>
    <xdr:ext cx="689428" cy="283411"/>
    <xdr:sp macro="" textlink="">
      <xdr:nvSpPr>
        <xdr:cNvPr id="26" name="文本框 9">
          <a:extLst>
            <a:ext uri="{FF2B5EF4-FFF2-40B4-BE49-F238E27FC236}">
              <a16:creationId xmlns:a16="http://schemas.microsoft.com/office/drawing/2014/main" id="{99DADF99-CFC1-4240-A867-DD04DF89151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38</xdr:row>
      <xdr:rowOff>159255</xdr:rowOff>
    </xdr:from>
    <xdr:ext cx="689428" cy="283411"/>
    <xdr:sp macro="" textlink="">
      <xdr:nvSpPr>
        <xdr:cNvPr id="27" name="文本框 9">
          <a:extLst>
            <a:ext uri="{FF2B5EF4-FFF2-40B4-BE49-F238E27FC236}">
              <a16:creationId xmlns:a16="http://schemas.microsoft.com/office/drawing/2014/main" id="{ADED813D-BF79-6D43-84E0-EF31973B88E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39</xdr:row>
      <xdr:rowOff>159255</xdr:rowOff>
    </xdr:from>
    <xdr:ext cx="689428" cy="283411"/>
    <xdr:sp macro="" textlink="">
      <xdr:nvSpPr>
        <xdr:cNvPr id="28" name="文本框 9">
          <a:extLst>
            <a:ext uri="{FF2B5EF4-FFF2-40B4-BE49-F238E27FC236}">
              <a16:creationId xmlns:a16="http://schemas.microsoft.com/office/drawing/2014/main" id="{D465183F-AC64-544E-9F5A-11E6EEFFFF64}"/>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40</xdr:row>
      <xdr:rowOff>159255</xdr:rowOff>
    </xdr:from>
    <xdr:ext cx="689428" cy="283411"/>
    <xdr:sp macro="" textlink="">
      <xdr:nvSpPr>
        <xdr:cNvPr id="29" name="文本框 9">
          <a:extLst>
            <a:ext uri="{FF2B5EF4-FFF2-40B4-BE49-F238E27FC236}">
              <a16:creationId xmlns:a16="http://schemas.microsoft.com/office/drawing/2014/main" id="{0FC9A77D-4339-BA48-ACBA-28C9CD51A73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41</xdr:row>
      <xdr:rowOff>159255</xdr:rowOff>
    </xdr:from>
    <xdr:ext cx="689428" cy="283411"/>
    <xdr:sp macro="" textlink="">
      <xdr:nvSpPr>
        <xdr:cNvPr id="30" name="文本框 9">
          <a:extLst>
            <a:ext uri="{FF2B5EF4-FFF2-40B4-BE49-F238E27FC236}">
              <a16:creationId xmlns:a16="http://schemas.microsoft.com/office/drawing/2014/main" id="{2BE84B0A-95DB-E44A-9818-37FBE8368F3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42</xdr:row>
      <xdr:rowOff>159255</xdr:rowOff>
    </xdr:from>
    <xdr:ext cx="689428" cy="283411"/>
    <xdr:sp macro="" textlink="">
      <xdr:nvSpPr>
        <xdr:cNvPr id="31" name="文本框 9">
          <a:extLst>
            <a:ext uri="{FF2B5EF4-FFF2-40B4-BE49-F238E27FC236}">
              <a16:creationId xmlns:a16="http://schemas.microsoft.com/office/drawing/2014/main" id="{23FAB3EB-F810-1245-9F08-4B32A775307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43</xdr:row>
      <xdr:rowOff>159255</xdr:rowOff>
    </xdr:from>
    <xdr:ext cx="689428" cy="283411"/>
    <xdr:sp macro="" textlink="">
      <xdr:nvSpPr>
        <xdr:cNvPr id="32" name="文本框 9">
          <a:extLst>
            <a:ext uri="{FF2B5EF4-FFF2-40B4-BE49-F238E27FC236}">
              <a16:creationId xmlns:a16="http://schemas.microsoft.com/office/drawing/2014/main" id="{4671CAC5-FBC1-BF4C-832E-F20409A1C29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44</xdr:row>
      <xdr:rowOff>159255</xdr:rowOff>
    </xdr:from>
    <xdr:ext cx="689428" cy="283411"/>
    <xdr:sp macro="" textlink="">
      <xdr:nvSpPr>
        <xdr:cNvPr id="33" name="文本框 9">
          <a:extLst>
            <a:ext uri="{FF2B5EF4-FFF2-40B4-BE49-F238E27FC236}">
              <a16:creationId xmlns:a16="http://schemas.microsoft.com/office/drawing/2014/main" id="{83F1C9AF-644B-F94C-A806-40BEEFA89AD1}"/>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45</xdr:row>
      <xdr:rowOff>159255</xdr:rowOff>
    </xdr:from>
    <xdr:ext cx="689428" cy="283411"/>
    <xdr:sp macro="" textlink="">
      <xdr:nvSpPr>
        <xdr:cNvPr id="34" name="文本框 9">
          <a:extLst>
            <a:ext uri="{FF2B5EF4-FFF2-40B4-BE49-F238E27FC236}">
              <a16:creationId xmlns:a16="http://schemas.microsoft.com/office/drawing/2014/main" id="{53C0B2F7-100A-9D46-8F4E-34B54E26ADB3}"/>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9</xdr:col>
      <xdr:colOff>60324</xdr:colOff>
      <xdr:row>8</xdr:row>
      <xdr:rowOff>31750</xdr:rowOff>
    </xdr:from>
    <xdr:to>
      <xdr:col>16</xdr:col>
      <xdr:colOff>406399</xdr:colOff>
      <xdr:row>24</xdr:row>
      <xdr:rowOff>82550</xdr:rowOff>
    </xdr:to>
    <xdr:graphicFrame macro="">
      <xdr:nvGraphicFramePr>
        <xdr:cNvPr id="2" name="图表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8</xdr:col>
      <xdr:colOff>346075</xdr:colOff>
      <xdr:row>24</xdr:row>
      <xdr:rowOff>50800</xdr:rowOff>
    </xdr:to>
    <xdr:graphicFrame macro="">
      <xdr:nvGraphicFramePr>
        <xdr:cNvPr id="3" name="图表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127000</xdr:colOff>
      <xdr:row>8</xdr:row>
      <xdr:rowOff>38100</xdr:rowOff>
    </xdr:from>
    <xdr:to>
      <xdr:col>24</xdr:col>
      <xdr:colOff>473075</xdr:colOff>
      <xdr:row>24</xdr:row>
      <xdr:rowOff>88900</xdr:rowOff>
    </xdr:to>
    <xdr:graphicFrame macro="">
      <xdr:nvGraphicFramePr>
        <xdr:cNvPr id="5" name="图表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95250</xdr:colOff>
      <xdr:row>8</xdr:row>
      <xdr:rowOff>103188</xdr:rowOff>
    </xdr:from>
    <xdr:to>
      <xdr:col>5</xdr:col>
      <xdr:colOff>1714500</xdr:colOff>
      <xdr:row>11</xdr:row>
      <xdr:rowOff>31750</xdr:rowOff>
    </xdr:to>
    <xdr:sp macro="" textlink="">
      <xdr:nvSpPr>
        <xdr:cNvPr id="2" name="右箭头 1">
          <a:extLst>
            <a:ext uri="{FF2B5EF4-FFF2-40B4-BE49-F238E27FC236}">
              <a16:creationId xmlns:a16="http://schemas.microsoft.com/office/drawing/2014/main" id="{00000000-0008-0000-1000-000002000000}"/>
            </a:ext>
          </a:extLst>
        </xdr:cNvPr>
        <xdr:cNvSpPr/>
      </xdr:nvSpPr>
      <xdr:spPr>
        <a:xfrm>
          <a:off x="4021667" y="1658938"/>
          <a:ext cx="1619250" cy="46831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171901</xdr:colOff>
      <xdr:row>52</xdr:row>
      <xdr:rowOff>119074</xdr:rowOff>
    </xdr:from>
    <xdr:to>
      <xdr:col>4</xdr:col>
      <xdr:colOff>740833</xdr:colOff>
      <xdr:row>68</xdr:row>
      <xdr:rowOff>47783</xdr:rowOff>
    </xdr:to>
    <xdr:graphicFrame macro="">
      <xdr:nvGraphicFramePr>
        <xdr:cNvPr id="3" name="图表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433480</xdr:colOff>
      <xdr:row>52</xdr:row>
      <xdr:rowOff>101470</xdr:rowOff>
    </xdr:from>
    <xdr:to>
      <xdr:col>13</xdr:col>
      <xdr:colOff>653437</xdr:colOff>
      <xdr:row>68</xdr:row>
      <xdr:rowOff>34457</xdr:rowOff>
    </xdr:to>
    <xdr:graphicFrame macro="">
      <xdr:nvGraphicFramePr>
        <xdr:cNvPr id="4" name="图表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910167</xdr:colOff>
      <xdr:row>52</xdr:row>
      <xdr:rowOff>118906</xdr:rowOff>
    </xdr:from>
    <xdr:to>
      <xdr:col>8</xdr:col>
      <xdr:colOff>336721</xdr:colOff>
      <xdr:row>68</xdr:row>
      <xdr:rowOff>48237</xdr:rowOff>
    </xdr:to>
    <xdr:graphicFrame macro="">
      <xdr:nvGraphicFramePr>
        <xdr:cNvPr id="5" name="图表 4">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7470</xdr:colOff>
      <xdr:row>1</xdr:row>
      <xdr:rowOff>0</xdr:rowOff>
    </xdr:from>
    <xdr:to>
      <xdr:col>12</xdr:col>
      <xdr:colOff>366059</xdr:colOff>
      <xdr:row>5</xdr:row>
      <xdr:rowOff>59764</xdr:rowOff>
    </xdr:to>
    <xdr:cxnSp macro="">
      <xdr:nvCxnSpPr>
        <xdr:cNvPr id="7" name="直接箭头连接符 6">
          <a:extLst>
            <a:ext uri="{FF2B5EF4-FFF2-40B4-BE49-F238E27FC236}">
              <a16:creationId xmlns:a16="http://schemas.microsoft.com/office/drawing/2014/main" id="{00000000-0008-0000-1000-000007000000}"/>
            </a:ext>
          </a:extLst>
        </xdr:cNvPr>
        <xdr:cNvCxnSpPr/>
      </xdr:nvCxnSpPr>
      <xdr:spPr>
        <a:xfrm flipH="1">
          <a:off x="15523882" y="373529"/>
          <a:ext cx="1016001" cy="11803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346636</xdr:colOff>
      <xdr:row>1</xdr:row>
      <xdr:rowOff>0</xdr:rowOff>
    </xdr:from>
    <xdr:to>
      <xdr:col>16</xdr:col>
      <xdr:colOff>425823</xdr:colOff>
      <xdr:row>5</xdr:row>
      <xdr:rowOff>134470</xdr:rowOff>
    </xdr:to>
    <xdr:cxnSp macro="">
      <xdr:nvCxnSpPr>
        <xdr:cNvPr id="9" name="直接箭头连接符 8">
          <a:extLst>
            <a:ext uri="{FF2B5EF4-FFF2-40B4-BE49-F238E27FC236}">
              <a16:creationId xmlns:a16="http://schemas.microsoft.com/office/drawing/2014/main" id="{00000000-0008-0000-1000-000009000000}"/>
            </a:ext>
          </a:extLst>
        </xdr:cNvPr>
        <xdr:cNvCxnSpPr/>
      </xdr:nvCxnSpPr>
      <xdr:spPr>
        <a:xfrm>
          <a:off x="18701871" y="354105"/>
          <a:ext cx="736599" cy="12744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84667</xdr:colOff>
      <xdr:row>6</xdr:row>
      <xdr:rowOff>158750</xdr:rowOff>
    </xdr:from>
    <xdr:ext cx="1715662" cy="280205"/>
    <xdr:sp macro="" textlink="">
      <xdr:nvSpPr>
        <xdr:cNvPr id="13" name="文本框 12">
          <a:extLst>
            <a:ext uri="{FF2B5EF4-FFF2-40B4-BE49-F238E27FC236}">
              <a16:creationId xmlns:a16="http://schemas.microsoft.com/office/drawing/2014/main" id="{00000000-0008-0000-1000-00000D000000}"/>
            </a:ext>
          </a:extLst>
        </xdr:cNvPr>
        <xdr:cNvSpPr txBox="1"/>
      </xdr:nvSpPr>
      <xdr:spPr>
        <a:xfrm>
          <a:off x="4011084" y="1354667"/>
          <a:ext cx="17156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200"/>
            <a:t>Breakdown by Fuel Type</a:t>
          </a:r>
          <a:endParaRPr lang="zh-CN" altLang="en-US" sz="12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31</xdr:col>
      <xdr:colOff>749998</xdr:colOff>
      <xdr:row>129</xdr:row>
      <xdr:rowOff>89402</xdr:rowOff>
    </xdr:from>
    <xdr:to>
      <xdr:col>34</xdr:col>
      <xdr:colOff>354424</xdr:colOff>
      <xdr:row>132</xdr:row>
      <xdr:rowOff>24616</xdr:rowOff>
    </xdr:to>
    <xdr:sp macro="" textlink="">
      <xdr:nvSpPr>
        <xdr:cNvPr id="3" name="右箭头 2">
          <a:extLst>
            <a:ext uri="{FF2B5EF4-FFF2-40B4-BE49-F238E27FC236}">
              <a16:creationId xmlns:a16="http://schemas.microsoft.com/office/drawing/2014/main" id="{00000000-0008-0000-1200-000003000000}"/>
            </a:ext>
          </a:extLst>
        </xdr:cNvPr>
        <xdr:cNvSpPr/>
      </xdr:nvSpPr>
      <xdr:spPr>
        <a:xfrm>
          <a:off x="26568351" y="13999637"/>
          <a:ext cx="2024897" cy="47309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kustconnect-my.sharepoint.com/Users/lawrenceiu/Downloads/20190110%206pm%20TLG_HK%20emissions%20Dataset_0801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ocuments/WeChat%20Files/yz761241/FileStorage/File/2019-09/PCM%2020190611%20Li(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tal emissions"/>
      <sheetName val="Emission intensity"/>
      <sheetName val="Electricity emissions"/>
      <sheetName val="Electricity emission by sector"/>
      <sheetName val="Transport emissions"/>
      <sheetName val="Gas emissions"/>
      <sheetName val="Emissions by technology"/>
      <sheetName val="Demand forecast"/>
      <sheetName val="Future suppl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MEWORK"/>
      <sheetName val="GHG &amp; Energy rpt"/>
      <sheetName val="Results summary rpt"/>
      <sheetName val="Result Report"/>
      <sheetName val="Key parameters rpt"/>
      <sheetName val="Sheet4"/>
      <sheetName val="2016 Data Source"/>
      <sheetName val="Pivot_Table"/>
      <sheetName val="Population and GDP"/>
      <sheetName val="Population and GDP (1)"/>
      <sheetName val="Sheet3"/>
      <sheetName val="Building"/>
      <sheetName val="Transport"/>
      <sheetName val="Transport-1"/>
      <sheetName val="Transport-2"/>
      <sheetName val="Electricity"/>
      <sheetName val="Waste"/>
      <sheetName val="PMC ref file ---&gt;"/>
      <sheetName val="Trans rough work"/>
      <sheetName val="Trans analysis"/>
      <sheetName val="EF-1"/>
      <sheetName val="Elc"/>
      <sheetName val="Housing demand"/>
      <sheetName val="Commerical demand"/>
      <sheetName val="Elderly &amp; Children pax trips"/>
      <sheetName val="Marine VKM"/>
      <sheetName val="Sheet1"/>
      <sheetName val="Sheet2"/>
      <sheetName val="data demand"/>
    </sheetNames>
    <sheetDataSet>
      <sheetData sheetId="0">
        <row r="2">
          <cell r="B2">
            <v>43599</v>
          </cell>
          <cell r="D2" t="str">
            <v>Core higher population</v>
          </cell>
        </row>
      </sheetData>
      <sheetData sheetId="1"/>
      <sheetData sheetId="2"/>
      <sheetData sheetId="3"/>
      <sheetData sheetId="4">
        <row r="25">
          <cell r="O25">
            <v>0.4</v>
          </cell>
        </row>
        <row r="26">
          <cell r="O26">
            <v>0.6</v>
          </cell>
        </row>
        <row r="27">
          <cell r="O27">
            <v>2174901.2425941145</v>
          </cell>
        </row>
        <row r="28">
          <cell r="O28">
            <v>2121852.1582866181</v>
          </cell>
        </row>
        <row r="30">
          <cell r="O30">
            <v>5.9026996398998897</v>
          </cell>
        </row>
        <row r="31">
          <cell r="O31">
            <v>3.6728616334859097</v>
          </cell>
        </row>
        <row r="33">
          <cell r="O33">
            <v>0.1</v>
          </cell>
        </row>
        <row r="34">
          <cell r="O34">
            <v>0.5</v>
          </cell>
        </row>
        <row r="35">
          <cell r="O35">
            <v>0.35</v>
          </cell>
        </row>
        <row r="36">
          <cell r="O36">
            <v>0.55000000000000004</v>
          </cell>
        </row>
        <row r="37">
          <cell r="O37">
            <v>0.08</v>
          </cell>
        </row>
        <row r="38">
          <cell r="O38">
            <v>0.15</v>
          </cell>
        </row>
        <row r="39">
          <cell r="O39">
            <v>2.21</v>
          </cell>
        </row>
        <row r="40">
          <cell r="O40">
            <v>0.05</v>
          </cell>
        </row>
        <row r="41">
          <cell r="O41">
            <v>0</v>
          </cell>
        </row>
        <row r="42">
          <cell r="O42">
            <v>1</v>
          </cell>
        </row>
        <row r="43">
          <cell r="O43">
            <v>0</v>
          </cell>
        </row>
      </sheetData>
      <sheetData sheetId="5"/>
      <sheetData sheetId="6"/>
      <sheetData sheetId="7"/>
      <sheetData sheetId="8">
        <row r="6">
          <cell r="E6">
            <v>7116800</v>
          </cell>
        </row>
        <row r="41">
          <cell r="E41">
            <v>9066500</v>
          </cell>
        </row>
      </sheetData>
      <sheetData sheetId="9"/>
      <sheetData sheetId="10"/>
      <sheetData sheetId="11"/>
      <sheetData sheetId="12"/>
      <sheetData sheetId="13"/>
      <sheetData sheetId="14"/>
      <sheetData sheetId="15">
        <row r="6">
          <cell r="K6">
            <v>8.765039029278613E-3</v>
          </cell>
        </row>
      </sheetData>
      <sheetData sheetId="16"/>
      <sheetData sheetId="17"/>
      <sheetData sheetId="18"/>
      <sheetData sheetId="19"/>
      <sheetData sheetId="20">
        <row r="5">
          <cell r="R5">
            <v>3600000</v>
          </cell>
        </row>
        <row r="6">
          <cell r="R6">
            <v>2.7777777777777776E-7</v>
          </cell>
        </row>
        <row r="7">
          <cell r="R7">
            <v>35588000</v>
          </cell>
        </row>
        <row r="8">
          <cell r="R8">
            <v>2.8099359334607172E-8</v>
          </cell>
        </row>
        <row r="20">
          <cell r="S20" t="str">
            <v>Mj / L</v>
          </cell>
        </row>
      </sheetData>
      <sheetData sheetId="21"/>
      <sheetData sheetId="22"/>
      <sheetData sheetId="23">
        <row r="46">
          <cell r="D46">
            <v>4819866.666666667</v>
          </cell>
        </row>
        <row r="47">
          <cell r="D47">
            <v>5034266.666666667</v>
          </cell>
        </row>
        <row r="48">
          <cell r="D48">
            <v>3552000</v>
          </cell>
        </row>
        <row r="49">
          <cell r="D49">
            <v>1953866.6666666667</v>
          </cell>
        </row>
        <row r="50">
          <cell r="D50">
            <v>14844266.666666666</v>
          </cell>
        </row>
        <row r="51">
          <cell r="D51">
            <v>16850133.333333332</v>
          </cell>
        </row>
        <row r="52">
          <cell r="D52">
            <v>22305466.666666668</v>
          </cell>
        </row>
      </sheetData>
      <sheetData sheetId="24"/>
      <sheetData sheetId="25"/>
      <sheetData sheetId="26"/>
      <sheetData sheetId="27"/>
      <sheetData sheetId="2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land.gov.hk/pland_en/p_study/comp_s/hk2030/eng/finalreport/" TargetMode="External"/><Relationship Id="rId2" Type="http://schemas.openxmlformats.org/officeDocument/2006/relationships/hyperlink" Target="https://www.censtatd.gov.hk/hkstat/sub/sp190.jsp?productCode=D5320185" TargetMode="External"/><Relationship Id="rId1" Type="http://schemas.openxmlformats.org/officeDocument/2006/relationships/hyperlink" Target="https://www.censtatd.gov.hk/hkstat/sub/sp150.jsp?tableID=005&amp;ID=0&amp;productType=8" TargetMode="External"/><Relationship Id="rId4" Type="http://schemas.openxmlformats.org/officeDocument/2006/relationships/hyperlink" Target="https://www.bycensus2016.gov.hk/en/bc-mt.html?search=E129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emsd.gov.hk/energyland/en/building/district_cooling_sys/dcs_benefits.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zoomScale="84" workbookViewId="0">
      <selection activeCell="B6" sqref="B6"/>
    </sheetView>
  </sheetViews>
  <sheetFormatPr defaultColWidth="8.81640625" defaultRowHeight="14.5"/>
  <cols>
    <col min="1" max="1" width="12.1796875" customWidth="1"/>
    <col min="2" max="2" width="46.453125" customWidth="1"/>
    <col min="6" max="6" width="58.81640625" customWidth="1"/>
  </cols>
  <sheetData>
    <row r="1" spans="1:6">
      <c r="A1" s="18" t="s">
        <v>0</v>
      </c>
    </row>
    <row r="2" spans="1:6">
      <c r="A2" s="18"/>
      <c r="B2" s="59" t="s">
        <v>1</v>
      </c>
      <c r="C2" t="s">
        <v>2</v>
      </c>
    </row>
    <row r="3" spans="1:6">
      <c r="B3" t="s">
        <v>3</v>
      </c>
    </row>
    <row r="4" spans="1:6">
      <c r="B4" s="60" t="s">
        <v>4</v>
      </c>
    </row>
    <row r="5" spans="1:6">
      <c r="B5" s="61" t="s">
        <v>5</v>
      </c>
    </row>
    <row r="6" spans="1:6">
      <c r="B6" t="s">
        <v>6</v>
      </c>
    </row>
    <row r="8" spans="1:6">
      <c r="B8" s="59" t="s">
        <v>7</v>
      </c>
      <c r="F8" s="59" t="s">
        <v>8</v>
      </c>
    </row>
    <row r="9" spans="1:6">
      <c r="B9" t="s">
        <v>9</v>
      </c>
      <c r="F9" t="s">
        <v>10</v>
      </c>
    </row>
    <row r="10" spans="1:6">
      <c r="B10" s="60">
        <v>2017</v>
      </c>
      <c r="F10" s="60">
        <v>2017</v>
      </c>
    </row>
    <row r="11" spans="1:6">
      <c r="B11" t="s">
        <v>11</v>
      </c>
      <c r="F11" t="s">
        <v>12</v>
      </c>
    </row>
    <row r="12" spans="1:6">
      <c r="B12" s="61" t="s">
        <v>13</v>
      </c>
      <c r="F12" t="s">
        <v>14</v>
      </c>
    </row>
    <row r="14" spans="1:6">
      <c r="B14" s="59" t="s">
        <v>15</v>
      </c>
      <c r="F14" s="59" t="s">
        <v>16</v>
      </c>
    </row>
    <row r="15" spans="1:6">
      <c r="B15" t="s">
        <v>17</v>
      </c>
      <c r="F15" t="s">
        <v>17</v>
      </c>
    </row>
    <row r="16" spans="1:6">
      <c r="B16" s="60">
        <v>2019</v>
      </c>
      <c r="F16" s="60">
        <v>2019</v>
      </c>
    </row>
    <row r="17" spans="1:6">
      <c r="B17" t="s">
        <v>18</v>
      </c>
      <c r="F17" t="s">
        <v>19</v>
      </c>
    </row>
    <row r="18" spans="1:6">
      <c r="B18" s="61" t="s">
        <v>20</v>
      </c>
      <c r="F18" s="61" t="s">
        <v>21</v>
      </c>
    </row>
    <row r="19" spans="1:6">
      <c r="B19" s="61"/>
      <c r="F19" s="61"/>
    </row>
    <row r="20" spans="1:6">
      <c r="B20" s="59" t="s">
        <v>22</v>
      </c>
      <c r="F20" s="61"/>
    </row>
    <row r="21" spans="1:6">
      <c r="B21" t="s">
        <v>23</v>
      </c>
      <c r="F21" s="61"/>
    </row>
    <row r="22" spans="1:6">
      <c r="B22" s="60">
        <v>2017</v>
      </c>
      <c r="F22" s="61"/>
    </row>
    <row r="23" spans="1:6">
      <c r="B23" t="s">
        <v>24</v>
      </c>
      <c r="F23" s="61"/>
    </row>
    <row r="24" spans="1:6">
      <c r="B24" s="61" t="s">
        <v>25</v>
      </c>
      <c r="F24" s="61"/>
    </row>
    <row r="25" spans="1:6">
      <c r="B25" s="61"/>
      <c r="F25" s="61"/>
    </row>
    <row r="26" spans="1:6">
      <c r="B26" s="59" t="s">
        <v>26</v>
      </c>
      <c r="F26" s="61"/>
    </row>
    <row r="27" spans="1:6">
      <c r="B27" s="514" t="s">
        <v>27</v>
      </c>
      <c r="F27" s="61"/>
    </row>
    <row r="28" spans="1:6">
      <c r="B28" s="515">
        <v>2017</v>
      </c>
      <c r="F28" s="61"/>
    </row>
    <row r="29" spans="1:6">
      <c r="B29" s="514" t="s">
        <v>28</v>
      </c>
      <c r="F29" s="61"/>
    </row>
    <row r="30" spans="1:6">
      <c r="B30" s="61"/>
      <c r="F30" s="61"/>
    </row>
    <row r="31" spans="1:6">
      <c r="B31" s="61"/>
    </row>
    <row r="32" spans="1:6">
      <c r="A32" s="54" t="s">
        <v>29</v>
      </c>
    </row>
    <row r="33" spans="1:3">
      <c r="A33" s="54" t="s">
        <v>30</v>
      </c>
    </row>
    <row r="34" spans="1:3">
      <c r="A34" t="s">
        <v>31</v>
      </c>
    </row>
    <row r="35" spans="1:3">
      <c r="A35" t="s">
        <v>32</v>
      </c>
      <c r="B35" t="s">
        <v>33</v>
      </c>
    </row>
    <row r="36" spans="1:3">
      <c r="B36" t="s">
        <v>34</v>
      </c>
    </row>
    <row r="37" spans="1:3">
      <c r="C37" t="s">
        <v>35</v>
      </c>
    </row>
    <row r="38" spans="1:3" ht="14.5" customHeight="1">
      <c r="C38" t="s">
        <v>36</v>
      </c>
    </row>
    <row r="39" spans="1:3">
      <c r="C39" t="s">
        <v>37</v>
      </c>
    </row>
    <row r="40" spans="1:3">
      <c r="A40" s="54" t="s">
        <v>38</v>
      </c>
    </row>
    <row r="41" spans="1:3">
      <c r="A41" t="s">
        <v>39</v>
      </c>
      <c r="B41" t="s">
        <v>40</v>
      </c>
    </row>
    <row r="42" spans="1:3">
      <c r="B42" t="s">
        <v>41</v>
      </c>
    </row>
    <row r="43" spans="1:3">
      <c r="B43" t="s">
        <v>42</v>
      </c>
    </row>
    <row r="44" spans="1:3">
      <c r="A44" s="54" t="s">
        <v>43</v>
      </c>
    </row>
    <row r="45" spans="1:3">
      <c r="A45" t="s">
        <v>39</v>
      </c>
      <c r="B45" t="s">
        <v>44</v>
      </c>
    </row>
    <row r="46" spans="1:3">
      <c r="B46" t="s">
        <v>45</v>
      </c>
    </row>
    <row r="47" spans="1:3">
      <c r="A47" s="54" t="s">
        <v>46</v>
      </c>
    </row>
    <row r="48" spans="1:3">
      <c r="A48" t="s">
        <v>39</v>
      </c>
      <c r="B48" t="s">
        <v>47</v>
      </c>
    </row>
    <row r="49" spans="1:2">
      <c r="B49" t="s">
        <v>48</v>
      </c>
    </row>
    <row r="50" spans="1:2">
      <c r="B50" t="s">
        <v>49</v>
      </c>
    </row>
    <row r="51" spans="1:2">
      <c r="B51" t="s">
        <v>50</v>
      </c>
    </row>
    <row r="52" spans="1:2">
      <c r="A52" s="54" t="s">
        <v>51</v>
      </c>
    </row>
    <row r="53" spans="1:2">
      <c r="A53" t="s">
        <v>52</v>
      </c>
      <c r="B53" t="s">
        <v>53</v>
      </c>
    </row>
    <row r="54" spans="1:2">
      <c r="B54" t="s">
        <v>54</v>
      </c>
    </row>
    <row r="55" spans="1:2">
      <c r="B55" t="s">
        <v>55</v>
      </c>
    </row>
    <row r="56" spans="1:2">
      <c r="B56" t="s">
        <v>56</v>
      </c>
    </row>
    <row r="58" spans="1:2">
      <c r="A58" s="54" t="s">
        <v>57</v>
      </c>
    </row>
    <row r="59" spans="1:2">
      <c r="A59" t="s">
        <v>52</v>
      </c>
      <c r="B59" t="s">
        <v>58</v>
      </c>
    </row>
    <row r="60" spans="1:2">
      <c r="B60" t="s">
        <v>59</v>
      </c>
    </row>
    <row r="61" spans="1:2">
      <c r="B61" t="s">
        <v>60</v>
      </c>
    </row>
  </sheetData>
  <phoneticPr fontId="3" type="noConversion"/>
  <hyperlinks>
    <hyperlink ref="B18" r:id="rId1" xr:uid="{00000000-0004-0000-0000-000000000000}"/>
    <hyperlink ref="F18" r:id="rId2" xr:uid="{00000000-0004-0000-0000-000001000000}"/>
    <hyperlink ref="B12" r:id="rId3" xr:uid="{00000000-0004-0000-0000-000002000000}"/>
    <hyperlink ref="B2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zoomScale="150" workbookViewId="0">
      <selection activeCell="A25" sqref="A25"/>
    </sheetView>
  </sheetViews>
  <sheetFormatPr defaultColWidth="8.81640625" defaultRowHeight="14.5"/>
  <cols>
    <col min="2" max="2" width="12.26953125" customWidth="1"/>
  </cols>
  <sheetData>
    <row r="1" spans="1:2">
      <c r="A1" s="18" t="s">
        <v>61</v>
      </c>
    </row>
    <row r="2" spans="1:2">
      <c r="A2" t="s">
        <v>62</v>
      </c>
    </row>
    <row r="3" spans="1:2">
      <c r="B3" t="s">
        <v>63</v>
      </c>
    </row>
    <row r="4" spans="1:2">
      <c r="A4" t="s">
        <v>64</v>
      </c>
    </row>
    <row r="5" spans="1:2">
      <c r="A5" t="s">
        <v>65</v>
      </c>
    </row>
    <row r="7" spans="1:2">
      <c r="A7" s="53"/>
    </row>
    <row r="8" spans="1:2">
      <c r="A8" s="54" t="s">
        <v>66</v>
      </c>
    </row>
    <row r="9" spans="1:2">
      <c r="A9" s="53" t="s">
        <v>67</v>
      </c>
    </row>
    <row r="10" spans="1:2">
      <c r="A10" s="53" t="s">
        <v>68</v>
      </c>
    </row>
    <row r="11" spans="1:2">
      <c r="A11" s="53" t="s">
        <v>69</v>
      </c>
    </row>
    <row r="12" spans="1:2">
      <c r="A12" s="53" t="s">
        <v>70</v>
      </c>
    </row>
    <row r="13" spans="1:2">
      <c r="A13" s="53" t="s">
        <v>71</v>
      </c>
    </row>
    <row r="14" spans="1:2">
      <c r="A14" s="53"/>
    </row>
    <row r="15" spans="1:2" ht="13.5" customHeight="1">
      <c r="A15" s="54" t="s">
        <v>72</v>
      </c>
    </row>
    <row r="16" spans="1:2" ht="13.5" customHeight="1">
      <c r="A16" t="s">
        <v>73</v>
      </c>
    </row>
    <row r="17" spans="1:12" ht="13.5" customHeight="1">
      <c r="A17" t="s">
        <v>74</v>
      </c>
    </row>
    <row r="18" spans="1:12" ht="13.5" customHeight="1">
      <c r="A18" t="s">
        <v>75</v>
      </c>
    </row>
    <row r="19" spans="1:12" ht="13.5" customHeight="1">
      <c r="A19" t="s">
        <v>76</v>
      </c>
    </row>
    <row r="20" spans="1:12" ht="13.5" customHeight="1">
      <c r="A20" t="s">
        <v>77</v>
      </c>
    </row>
    <row r="21" spans="1:12" ht="15.65" customHeight="1">
      <c r="A21" s="568" t="s">
        <v>78</v>
      </c>
      <c r="B21" s="569"/>
      <c r="C21" s="569"/>
      <c r="D21" s="569"/>
      <c r="E21" s="569"/>
      <c r="F21" s="569"/>
      <c r="G21" s="569"/>
      <c r="H21" s="569"/>
      <c r="I21" s="569"/>
      <c r="J21" s="569"/>
      <c r="K21" s="569"/>
      <c r="L21" s="569"/>
    </row>
    <row r="22" spans="1:12" ht="13.5" customHeight="1">
      <c r="A22" t="s">
        <v>79</v>
      </c>
    </row>
    <row r="24" spans="1:12">
      <c r="A24" s="516" t="s">
        <v>80</v>
      </c>
    </row>
    <row r="25" spans="1:12">
      <c r="A25" t="s">
        <v>81</v>
      </c>
    </row>
    <row r="51" spans="1:1">
      <c r="A51" t="s">
        <v>82</v>
      </c>
    </row>
  </sheetData>
  <mergeCells count="1">
    <mergeCell ref="A21:L21"/>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18"/>
  <sheetViews>
    <sheetView zoomScale="92" workbookViewId="0">
      <selection activeCell="E23" sqref="E23"/>
    </sheetView>
  </sheetViews>
  <sheetFormatPr defaultColWidth="8.81640625" defaultRowHeight="14.5"/>
  <sheetData>
    <row r="2" spans="1:1">
      <c r="A2" s="61" t="s">
        <v>83</v>
      </c>
    </row>
    <row r="3" spans="1:1">
      <c r="A3" t="s">
        <v>84</v>
      </c>
    </row>
    <row r="4" spans="1:1">
      <c r="A4" s="61" t="s">
        <v>85</v>
      </c>
    </row>
    <row r="5" spans="1:1">
      <c r="A5" s="61" t="s">
        <v>86</v>
      </c>
    </row>
    <row r="6" spans="1:1">
      <c r="A6" s="61" t="s">
        <v>87</v>
      </c>
    </row>
    <row r="7" spans="1:1">
      <c r="A7" s="61" t="s">
        <v>88</v>
      </c>
    </row>
    <row r="8" spans="1:1">
      <c r="A8" s="61" t="s">
        <v>89</v>
      </c>
    </row>
    <row r="9" spans="1:1">
      <c r="A9" s="61" t="s">
        <v>90</v>
      </c>
    </row>
    <row r="10" spans="1:1">
      <c r="A10" s="61" t="s">
        <v>91</v>
      </c>
    </row>
    <row r="11" spans="1:1">
      <c r="A11" s="61" t="s">
        <v>92</v>
      </c>
    </row>
    <row r="12" spans="1:1">
      <c r="A12" s="61" t="s">
        <v>93</v>
      </c>
    </row>
    <row r="13" spans="1:1">
      <c r="A13" s="61" t="s">
        <v>94</v>
      </c>
    </row>
    <row r="14" spans="1:1">
      <c r="A14" s="61" t="s">
        <v>95</v>
      </c>
    </row>
    <row r="15" spans="1:1">
      <c r="A15" s="61" t="s">
        <v>96</v>
      </c>
    </row>
    <row r="16" spans="1:1">
      <c r="A16" s="61" t="s">
        <v>97</v>
      </c>
    </row>
    <row r="17" spans="1:1">
      <c r="A17" s="61" t="s">
        <v>98</v>
      </c>
    </row>
    <row r="18" spans="1:1">
      <c r="A18" s="61" t="s">
        <v>99</v>
      </c>
    </row>
  </sheetData>
  <phoneticPr fontId="3" type="noConversion"/>
  <hyperlinks>
    <hyperlink ref="A2" location="About!A1" display="About" xr:uid="{00000000-0004-0000-0200-000000000000}"/>
    <hyperlink ref="A4" location="Household_Histo!A1" display="Household_Histo" xr:uid="{00000000-0004-0000-0200-000001000000}"/>
    <hyperlink ref="A5" location="Household_Pred!A1" display="Household_Pred" xr:uid="{00000000-0004-0000-0200-000002000000}"/>
    <hyperlink ref="A6" location="Energy8Sec!A1" display="Energy8Sec" xr:uid="{00000000-0004-0000-0200-000003000000}"/>
    <hyperlink ref="A7" location="Residential8Fuel!A1" display="Residential8Fuel" xr:uid="{00000000-0004-0000-0200-000004000000}"/>
    <hyperlink ref="A8" location="Commercial8Fuel!A1" display="Commercial8Fuel" xr:uid="{00000000-0004-0000-0200-000005000000}"/>
    <hyperlink ref="A9" location="Residential8EndUse!A1" display="Residential8EndUse" xr:uid="{00000000-0004-0000-0200-000006000000}"/>
    <hyperlink ref="A10" location="Commercial8EndUse!A1" display="Commercial8EndUse" xr:uid="{00000000-0004-0000-0200-000007000000}"/>
    <hyperlink ref="A11" location="Commercial!A1" display="Commercial" xr:uid="{00000000-0004-0000-0200-000008000000}"/>
    <hyperlink ref="A12" location="Residential!A1" display="Residential" xr:uid="{00000000-0004-0000-0200-000009000000}"/>
    <hyperlink ref="A13" location="'Future Pred'!A1" display="Future Pred" xr:uid="{00000000-0004-0000-0200-00000A000000}"/>
    <hyperlink ref="A14" location="'Future Data'!A1" display="Futre Data" xr:uid="{00000000-0004-0000-0200-00000B000000}"/>
    <hyperlink ref="A15" location="'transition for STATA'!A1" display="transition for STATA" xr:uid="{00000000-0004-0000-0200-00000C000000}"/>
    <hyperlink ref="A16" location="'STATA Reg Result'!A1" display="STATA Reg Result" xr:uid="{00000000-0004-0000-0200-00000D000000}"/>
    <hyperlink ref="A17" location="'BTU Factor'!A1" display="BTU Factor " xr:uid="{00000000-0004-0000-0200-00000E000000}"/>
    <hyperlink ref="A18" location="Note!A1" display="Note" xr:uid="{00000000-0004-0000-0200-00000F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03"/>
  <sheetViews>
    <sheetView zoomScaleNormal="100" workbookViewId="0">
      <selection activeCell="F21" sqref="F21"/>
    </sheetView>
  </sheetViews>
  <sheetFormatPr defaultColWidth="8.81640625" defaultRowHeight="12.5"/>
  <cols>
    <col min="1" max="1" width="7.453125" style="97" customWidth="1"/>
    <col min="2" max="2" width="4.26953125" style="97" bestFit="1" customWidth="1"/>
    <col min="3" max="3" width="19.1796875" style="97" customWidth="1"/>
    <col min="4" max="4" width="15.1796875" style="97" customWidth="1"/>
    <col min="5" max="5" width="15.7265625" style="97" customWidth="1"/>
    <col min="6" max="7" width="30.453125" style="97" customWidth="1"/>
    <col min="8" max="256" width="8.7265625" style="97"/>
    <col min="257" max="257" width="7.453125" style="97" customWidth="1"/>
    <col min="258" max="258" width="8.81640625" style="97" customWidth="1"/>
    <col min="259" max="259" width="30.7265625" style="97" customWidth="1"/>
    <col min="260" max="260" width="26.453125" style="97" customWidth="1"/>
    <col min="261" max="263" width="30.453125" style="97" customWidth="1"/>
    <col min="264" max="512" width="8.7265625" style="97"/>
    <col min="513" max="513" width="7.453125" style="97" customWidth="1"/>
    <col min="514" max="514" width="8.81640625" style="97" customWidth="1"/>
    <col min="515" max="515" width="30.7265625" style="97" customWidth="1"/>
    <col min="516" max="516" width="26.453125" style="97" customWidth="1"/>
    <col min="517" max="519" width="30.453125" style="97" customWidth="1"/>
    <col min="520" max="768" width="8.7265625" style="97"/>
    <col min="769" max="769" width="7.453125" style="97" customWidth="1"/>
    <col min="770" max="770" width="8.81640625" style="97" customWidth="1"/>
    <col min="771" max="771" width="30.7265625" style="97" customWidth="1"/>
    <col min="772" max="772" width="26.453125" style="97" customWidth="1"/>
    <col min="773" max="775" width="30.453125" style="97" customWidth="1"/>
    <col min="776" max="1024" width="8.7265625" style="97"/>
    <col min="1025" max="1025" width="7.453125" style="97" customWidth="1"/>
    <col min="1026" max="1026" width="8.81640625" style="97" customWidth="1"/>
    <col min="1027" max="1027" width="30.7265625" style="97" customWidth="1"/>
    <col min="1028" max="1028" width="26.453125" style="97" customWidth="1"/>
    <col min="1029" max="1031" width="30.453125" style="97" customWidth="1"/>
    <col min="1032" max="1280" width="8.7265625" style="97"/>
    <col min="1281" max="1281" width="7.453125" style="97" customWidth="1"/>
    <col min="1282" max="1282" width="8.81640625" style="97" customWidth="1"/>
    <col min="1283" max="1283" width="30.7265625" style="97" customWidth="1"/>
    <col min="1284" max="1284" width="26.453125" style="97" customWidth="1"/>
    <col min="1285" max="1287" width="30.453125" style="97" customWidth="1"/>
    <col min="1288" max="1536" width="8.7265625" style="97"/>
    <col min="1537" max="1537" width="7.453125" style="97" customWidth="1"/>
    <col min="1538" max="1538" width="8.81640625" style="97" customWidth="1"/>
    <col min="1539" max="1539" width="30.7265625" style="97" customWidth="1"/>
    <col min="1540" max="1540" width="26.453125" style="97" customWidth="1"/>
    <col min="1541" max="1543" width="30.453125" style="97" customWidth="1"/>
    <col min="1544" max="1792" width="8.7265625" style="97"/>
    <col min="1793" max="1793" width="7.453125" style="97" customWidth="1"/>
    <col min="1794" max="1794" width="8.81640625" style="97" customWidth="1"/>
    <col min="1795" max="1795" width="30.7265625" style="97" customWidth="1"/>
    <col min="1796" max="1796" width="26.453125" style="97" customWidth="1"/>
    <col min="1797" max="1799" width="30.453125" style="97" customWidth="1"/>
    <col min="1800" max="2048" width="8.7265625" style="97"/>
    <col min="2049" max="2049" width="7.453125" style="97" customWidth="1"/>
    <col min="2050" max="2050" width="8.81640625" style="97" customWidth="1"/>
    <col min="2051" max="2051" width="30.7265625" style="97" customWidth="1"/>
    <col min="2052" max="2052" width="26.453125" style="97" customWidth="1"/>
    <col min="2053" max="2055" width="30.453125" style="97" customWidth="1"/>
    <col min="2056" max="2304" width="8.7265625" style="97"/>
    <col min="2305" max="2305" width="7.453125" style="97" customWidth="1"/>
    <col min="2306" max="2306" width="8.81640625" style="97" customWidth="1"/>
    <col min="2307" max="2307" width="30.7265625" style="97" customWidth="1"/>
    <col min="2308" max="2308" width="26.453125" style="97" customWidth="1"/>
    <col min="2309" max="2311" width="30.453125" style="97" customWidth="1"/>
    <col min="2312" max="2560" width="8.7265625" style="97"/>
    <col min="2561" max="2561" width="7.453125" style="97" customWidth="1"/>
    <col min="2562" max="2562" width="8.81640625" style="97" customWidth="1"/>
    <col min="2563" max="2563" width="30.7265625" style="97" customWidth="1"/>
    <col min="2564" max="2564" width="26.453125" style="97" customWidth="1"/>
    <col min="2565" max="2567" width="30.453125" style="97" customWidth="1"/>
    <col min="2568" max="2816" width="8.7265625" style="97"/>
    <col min="2817" max="2817" width="7.453125" style="97" customWidth="1"/>
    <col min="2818" max="2818" width="8.81640625" style="97" customWidth="1"/>
    <col min="2819" max="2819" width="30.7265625" style="97" customWidth="1"/>
    <col min="2820" max="2820" width="26.453125" style="97" customWidth="1"/>
    <col min="2821" max="2823" width="30.453125" style="97" customWidth="1"/>
    <col min="2824" max="3072" width="8.7265625" style="97"/>
    <col min="3073" max="3073" width="7.453125" style="97" customWidth="1"/>
    <col min="3074" max="3074" width="8.81640625" style="97" customWidth="1"/>
    <col min="3075" max="3075" width="30.7265625" style="97" customWidth="1"/>
    <col min="3076" max="3076" width="26.453125" style="97" customWidth="1"/>
    <col min="3077" max="3079" width="30.453125" style="97" customWidth="1"/>
    <col min="3080" max="3328" width="8.7265625" style="97"/>
    <col min="3329" max="3329" width="7.453125" style="97" customWidth="1"/>
    <col min="3330" max="3330" width="8.81640625" style="97" customWidth="1"/>
    <col min="3331" max="3331" width="30.7265625" style="97" customWidth="1"/>
    <col min="3332" max="3332" width="26.453125" style="97" customWidth="1"/>
    <col min="3333" max="3335" width="30.453125" style="97" customWidth="1"/>
    <col min="3336" max="3584" width="8.7265625" style="97"/>
    <col min="3585" max="3585" width="7.453125" style="97" customWidth="1"/>
    <col min="3586" max="3586" width="8.81640625" style="97" customWidth="1"/>
    <col min="3587" max="3587" width="30.7265625" style="97" customWidth="1"/>
    <col min="3588" max="3588" width="26.453125" style="97" customWidth="1"/>
    <col min="3589" max="3591" width="30.453125" style="97" customWidth="1"/>
    <col min="3592" max="3840" width="8.7265625" style="97"/>
    <col min="3841" max="3841" width="7.453125" style="97" customWidth="1"/>
    <col min="3842" max="3842" width="8.81640625" style="97" customWidth="1"/>
    <col min="3843" max="3843" width="30.7265625" style="97" customWidth="1"/>
    <col min="3844" max="3844" width="26.453125" style="97" customWidth="1"/>
    <col min="3845" max="3847" width="30.453125" style="97" customWidth="1"/>
    <col min="3848" max="4096" width="8.7265625" style="97"/>
    <col min="4097" max="4097" width="7.453125" style="97" customWidth="1"/>
    <col min="4098" max="4098" width="8.81640625" style="97" customWidth="1"/>
    <col min="4099" max="4099" width="30.7265625" style="97" customWidth="1"/>
    <col min="4100" max="4100" width="26.453125" style="97" customWidth="1"/>
    <col min="4101" max="4103" width="30.453125" style="97" customWidth="1"/>
    <col min="4104" max="4352" width="8.7265625" style="97"/>
    <col min="4353" max="4353" width="7.453125" style="97" customWidth="1"/>
    <col min="4354" max="4354" width="8.81640625" style="97" customWidth="1"/>
    <col min="4355" max="4355" width="30.7265625" style="97" customWidth="1"/>
    <col min="4356" max="4356" width="26.453125" style="97" customWidth="1"/>
    <col min="4357" max="4359" width="30.453125" style="97" customWidth="1"/>
    <col min="4360" max="4608" width="8.7265625" style="97"/>
    <col min="4609" max="4609" width="7.453125" style="97" customWidth="1"/>
    <col min="4610" max="4610" width="8.81640625" style="97" customWidth="1"/>
    <col min="4611" max="4611" width="30.7265625" style="97" customWidth="1"/>
    <col min="4612" max="4612" width="26.453125" style="97" customWidth="1"/>
    <col min="4613" max="4615" width="30.453125" style="97" customWidth="1"/>
    <col min="4616" max="4864" width="8.7265625" style="97"/>
    <col min="4865" max="4865" width="7.453125" style="97" customWidth="1"/>
    <col min="4866" max="4866" width="8.81640625" style="97" customWidth="1"/>
    <col min="4867" max="4867" width="30.7265625" style="97" customWidth="1"/>
    <col min="4868" max="4868" width="26.453125" style="97" customWidth="1"/>
    <col min="4869" max="4871" width="30.453125" style="97" customWidth="1"/>
    <col min="4872" max="5120" width="8.7265625" style="97"/>
    <col min="5121" max="5121" width="7.453125" style="97" customWidth="1"/>
    <col min="5122" max="5122" width="8.81640625" style="97" customWidth="1"/>
    <col min="5123" max="5123" width="30.7265625" style="97" customWidth="1"/>
    <col min="5124" max="5124" width="26.453125" style="97" customWidth="1"/>
    <col min="5125" max="5127" width="30.453125" style="97" customWidth="1"/>
    <col min="5128" max="5376" width="8.7265625" style="97"/>
    <col min="5377" max="5377" width="7.453125" style="97" customWidth="1"/>
    <col min="5378" max="5378" width="8.81640625" style="97" customWidth="1"/>
    <col min="5379" max="5379" width="30.7265625" style="97" customWidth="1"/>
    <col min="5380" max="5380" width="26.453125" style="97" customWidth="1"/>
    <col min="5381" max="5383" width="30.453125" style="97" customWidth="1"/>
    <col min="5384" max="5632" width="8.7265625" style="97"/>
    <col min="5633" max="5633" width="7.453125" style="97" customWidth="1"/>
    <col min="5634" max="5634" width="8.81640625" style="97" customWidth="1"/>
    <col min="5635" max="5635" width="30.7265625" style="97" customWidth="1"/>
    <col min="5636" max="5636" width="26.453125" style="97" customWidth="1"/>
    <col min="5637" max="5639" width="30.453125" style="97" customWidth="1"/>
    <col min="5640" max="5888" width="8.7265625" style="97"/>
    <col min="5889" max="5889" width="7.453125" style="97" customWidth="1"/>
    <col min="5890" max="5890" width="8.81640625" style="97" customWidth="1"/>
    <col min="5891" max="5891" width="30.7265625" style="97" customWidth="1"/>
    <col min="5892" max="5892" width="26.453125" style="97" customWidth="1"/>
    <col min="5893" max="5895" width="30.453125" style="97" customWidth="1"/>
    <col min="5896" max="6144" width="8.7265625" style="97"/>
    <col min="6145" max="6145" width="7.453125" style="97" customWidth="1"/>
    <col min="6146" max="6146" width="8.81640625" style="97" customWidth="1"/>
    <col min="6147" max="6147" width="30.7265625" style="97" customWidth="1"/>
    <col min="6148" max="6148" width="26.453125" style="97" customWidth="1"/>
    <col min="6149" max="6151" width="30.453125" style="97" customWidth="1"/>
    <col min="6152" max="6400" width="8.7265625" style="97"/>
    <col min="6401" max="6401" width="7.453125" style="97" customWidth="1"/>
    <col min="6402" max="6402" width="8.81640625" style="97" customWidth="1"/>
    <col min="6403" max="6403" width="30.7265625" style="97" customWidth="1"/>
    <col min="6404" max="6404" width="26.453125" style="97" customWidth="1"/>
    <col min="6405" max="6407" width="30.453125" style="97" customWidth="1"/>
    <col min="6408" max="6656" width="8.7265625" style="97"/>
    <col min="6657" max="6657" width="7.453125" style="97" customWidth="1"/>
    <col min="6658" max="6658" width="8.81640625" style="97" customWidth="1"/>
    <col min="6659" max="6659" width="30.7265625" style="97" customWidth="1"/>
    <col min="6660" max="6660" width="26.453125" style="97" customWidth="1"/>
    <col min="6661" max="6663" width="30.453125" style="97" customWidth="1"/>
    <col min="6664" max="6912" width="8.7265625" style="97"/>
    <col min="6913" max="6913" width="7.453125" style="97" customWidth="1"/>
    <col min="6914" max="6914" width="8.81640625" style="97" customWidth="1"/>
    <col min="6915" max="6915" width="30.7265625" style="97" customWidth="1"/>
    <col min="6916" max="6916" width="26.453125" style="97" customWidth="1"/>
    <col min="6917" max="6919" width="30.453125" style="97" customWidth="1"/>
    <col min="6920" max="7168" width="8.7265625" style="97"/>
    <col min="7169" max="7169" width="7.453125" style="97" customWidth="1"/>
    <col min="7170" max="7170" width="8.81640625" style="97" customWidth="1"/>
    <col min="7171" max="7171" width="30.7265625" style="97" customWidth="1"/>
    <col min="7172" max="7172" width="26.453125" style="97" customWidth="1"/>
    <col min="7173" max="7175" width="30.453125" style="97" customWidth="1"/>
    <col min="7176" max="7424" width="8.7265625" style="97"/>
    <col min="7425" max="7425" width="7.453125" style="97" customWidth="1"/>
    <col min="7426" max="7426" width="8.81640625" style="97" customWidth="1"/>
    <col min="7427" max="7427" width="30.7265625" style="97" customWidth="1"/>
    <col min="7428" max="7428" width="26.453125" style="97" customWidth="1"/>
    <col min="7429" max="7431" width="30.453125" style="97" customWidth="1"/>
    <col min="7432" max="7680" width="8.7265625" style="97"/>
    <col min="7681" max="7681" width="7.453125" style="97" customWidth="1"/>
    <col min="7682" max="7682" width="8.81640625" style="97" customWidth="1"/>
    <col min="7683" max="7683" width="30.7265625" style="97" customWidth="1"/>
    <col min="7684" max="7684" width="26.453125" style="97" customWidth="1"/>
    <col min="7685" max="7687" width="30.453125" style="97" customWidth="1"/>
    <col min="7688" max="7936" width="8.7265625" style="97"/>
    <col min="7937" max="7937" width="7.453125" style="97" customWidth="1"/>
    <col min="7938" max="7938" width="8.81640625" style="97" customWidth="1"/>
    <col min="7939" max="7939" width="30.7265625" style="97" customWidth="1"/>
    <col min="7940" max="7940" width="26.453125" style="97" customWidth="1"/>
    <col min="7941" max="7943" width="30.453125" style="97" customWidth="1"/>
    <col min="7944" max="8192" width="8.7265625" style="97"/>
    <col min="8193" max="8193" width="7.453125" style="97" customWidth="1"/>
    <col min="8194" max="8194" width="8.81640625" style="97" customWidth="1"/>
    <col min="8195" max="8195" width="30.7265625" style="97" customWidth="1"/>
    <col min="8196" max="8196" width="26.453125" style="97" customWidth="1"/>
    <col min="8197" max="8199" width="30.453125" style="97" customWidth="1"/>
    <col min="8200" max="8448" width="8.7265625" style="97"/>
    <col min="8449" max="8449" width="7.453125" style="97" customWidth="1"/>
    <col min="8450" max="8450" width="8.81640625" style="97" customWidth="1"/>
    <col min="8451" max="8451" width="30.7265625" style="97" customWidth="1"/>
    <col min="8452" max="8452" width="26.453125" style="97" customWidth="1"/>
    <col min="8453" max="8455" width="30.453125" style="97" customWidth="1"/>
    <col min="8456" max="8704" width="8.7265625" style="97"/>
    <col min="8705" max="8705" width="7.453125" style="97" customWidth="1"/>
    <col min="8706" max="8706" width="8.81640625" style="97" customWidth="1"/>
    <col min="8707" max="8707" width="30.7265625" style="97" customWidth="1"/>
    <col min="8708" max="8708" width="26.453125" style="97" customWidth="1"/>
    <col min="8709" max="8711" width="30.453125" style="97" customWidth="1"/>
    <col min="8712" max="8960" width="8.7265625" style="97"/>
    <col min="8961" max="8961" width="7.453125" style="97" customWidth="1"/>
    <col min="8962" max="8962" width="8.81640625" style="97" customWidth="1"/>
    <col min="8963" max="8963" width="30.7265625" style="97" customWidth="1"/>
    <col min="8964" max="8964" width="26.453125" style="97" customWidth="1"/>
    <col min="8965" max="8967" width="30.453125" style="97" customWidth="1"/>
    <col min="8968" max="9216" width="8.7265625" style="97"/>
    <col min="9217" max="9217" width="7.453125" style="97" customWidth="1"/>
    <col min="9218" max="9218" width="8.81640625" style="97" customWidth="1"/>
    <col min="9219" max="9219" width="30.7265625" style="97" customWidth="1"/>
    <col min="9220" max="9220" width="26.453125" style="97" customWidth="1"/>
    <col min="9221" max="9223" width="30.453125" style="97" customWidth="1"/>
    <col min="9224" max="9472" width="8.7265625" style="97"/>
    <col min="9473" max="9473" width="7.453125" style="97" customWidth="1"/>
    <col min="9474" max="9474" width="8.81640625" style="97" customWidth="1"/>
    <col min="9475" max="9475" width="30.7265625" style="97" customWidth="1"/>
    <col min="9476" max="9476" width="26.453125" style="97" customWidth="1"/>
    <col min="9477" max="9479" width="30.453125" style="97" customWidth="1"/>
    <col min="9480" max="9728" width="8.7265625" style="97"/>
    <col min="9729" max="9729" width="7.453125" style="97" customWidth="1"/>
    <col min="9730" max="9730" width="8.81640625" style="97" customWidth="1"/>
    <col min="9731" max="9731" width="30.7265625" style="97" customWidth="1"/>
    <col min="9732" max="9732" width="26.453125" style="97" customWidth="1"/>
    <col min="9733" max="9735" width="30.453125" style="97" customWidth="1"/>
    <col min="9736" max="9984" width="8.7265625" style="97"/>
    <col min="9985" max="9985" width="7.453125" style="97" customWidth="1"/>
    <col min="9986" max="9986" width="8.81640625" style="97" customWidth="1"/>
    <col min="9987" max="9987" width="30.7265625" style="97" customWidth="1"/>
    <col min="9988" max="9988" width="26.453125" style="97" customWidth="1"/>
    <col min="9989" max="9991" width="30.453125" style="97" customWidth="1"/>
    <col min="9992" max="10240" width="8.7265625" style="97"/>
    <col min="10241" max="10241" width="7.453125" style="97" customWidth="1"/>
    <col min="10242" max="10242" width="8.81640625" style="97" customWidth="1"/>
    <col min="10243" max="10243" width="30.7265625" style="97" customWidth="1"/>
    <col min="10244" max="10244" width="26.453125" style="97" customWidth="1"/>
    <col min="10245" max="10247" width="30.453125" style="97" customWidth="1"/>
    <col min="10248" max="10496" width="8.7265625" style="97"/>
    <col min="10497" max="10497" width="7.453125" style="97" customWidth="1"/>
    <col min="10498" max="10498" width="8.81640625" style="97" customWidth="1"/>
    <col min="10499" max="10499" width="30.7265625" style="97" customWidth="1"/>
    <col min="10500" max="10500" width="26.453125" style="97" customWidth="1"/>
    <col min="10501" max="10503" width="30.453125" style="97" customWidth="1"/>
    <col min="10504" max="10752" width="8.7265625" style="97"/>
    <col min="10753" max="10753" width="7.453125" style="97" customWidth="1"/>
    <col min="10754" max="10754" width="8.81640625" style="97" customWidth="1"/>
    <col min="10755" max="10755" width="30.7265625" style="97" customWidth="1"/>
    <col min="10756" max="10756" width="26.453125" style="97" customWidth="1"/>
    <col min="10757" max="10759" width="30.453125" style="97" customWidth="1"/>
    <col min="10760" max="11008" width="8.7265625" style="97"/>
    <col min="11009" max="11009" width="7.453125" style="97" customWidth="1"/>
    <col min="11010" max="11010" width="8.81640625" style="97" customWidth="1"/>
    <col min="11011" max="11011" width="30.7265625" style="97" customWidth="1"/>
    <col min="11012" max="11012" width="26.453125" style="97" customWidth="1"/>
    <col min="11013" max="11015" width="30.453125" style="97" customWidth="1"/>
    <col min="11016" max="11264" width="8.7265625" style="97"/>
    <col min="11265" max="11265" width="7.453125" style="97" customWidth="1"/>
    <col min="11266" max="11266" width="8.81640625" style="97" customWidth="1"/>
    <col min="11267" max="11267" width="30.7265625" style="97" customWidth="1"/>
    <col min="11268" max="11268" width="26.453125" style="97" customWidth="1"/>
    <col min="11269" max="11271" width="30.453125" style="97" customWidth="1"/>
    <col min="11272" max="11520" width="8.7265625" style="97"/>
    <col min="11521" max="11521" width="7.453125" style="97" customWidth="1"/>
    <col min="11522" max="11522" width="8.81640625" style="97" customWidth="1"/>
    <col min="11523" max="11523" width="30.7265625" style="97" customWidth="1"/>
    <col min="11524" max="11524" width="26.453125" style="97" customWidth="1"/>
    <col min="11525" max="11527" width="30.453125" style="97" customWidth="1"/>
    <col min="11528" max="11776" width="8.7265625" style="97"/>
    <col min="11777" max="11777" width="7.453125" style="97" customWidth="1"/>
    <col min="11778" max="11778" width="8.81640625" style="97" customWidth="1"/>
    <col min="11779" max="11779" width="30.7265625" style="97" customWidth="1"/>
    <col min="11780" max="11780" width="26.453125" style="97" customWidth="1"/>
    <col min="11781" max="11783" width="30.453125" style="97" customWidth="1"/>
    <col min="11784" max="12032" width="8.7265625" style="97"/>
    <col min="12033" max="12033" width="7.453125" style="97" customWidth="1"/>
    <col min="12034" max="12034" width="8.81640625" style="97" customWidth="1"/>
    <col min="12035" max="12035" width="30.7265625" style="97" customWidth="1"/>
    <col min="12036" max="12036" width="26.453125" style="97" customWidth="1"/>
    <col min="12037" max="12039" width="30.453125" style="97" customWidth="1"/>
    <col min="12040" max="12288" width="8.7265625" style="97"/>
    <col min="12289" max="12289" width="7.453125" style="97" customWidth="1"/>
    <col min="12290" max="12290" width="8.81640625" style="97" customWidth="1"/>
    <col min="12291" max="12291" width="30.7265625" style="97" customWidth="1"/>
    <col min="12292" max="12292" width="26.453125" style="97" customWidth="1"/>
    <col min="12293" max="12295" width="30.453125" style="97" customWidth="1"/>
    <col min="12296" max="12544" width="8.7265625" style="97"/>
    <col min="12545" max="12545" width="7.453125" style="97" customWidth="1"/>
    <col min="12546" max="12546" width="8.81640625" style="97" customWidth="1"/>
    <col min="12547" max="12547" width="30.7265625" style="97" customWidth="1"/>
    <col min="12548" max="12548" width="26.453125" style="97" customWidth="1"/>
    <col min="12549" max="12551" width="30.453125" style="97" customWidth="1"/>
    <col min="12552" max="12800" width="8.7265625" style="97"/>
    <col min="12801" max="12801" width="7.453125" style="97" customWidth="1"/>
    <col min="12802" max="12802" width="8.81640625" style="97" customWidth="1"/>
    <col min="12803" max="12803" width="30.7265625" style="97" customWidth="1"/>
    <col min="12804" max="12804" width="26.453125" style="97" customWidth="1"/>
    <col min="12805" max="12807" width="30.453125" style="97" customWidth="1"/>
    <col min="12808" max="13056" width="8.7265625" style="97"/>
    <col min="13057" max="13057" width="7.453125" style="97" customWidth="1"/>
    <col min="13058" max="13058" width="8.81640625" style="97" customWidth="1"/>
    <col min="13059" max="13059" width="30.7265625" style="97" customWidth="1"/>
    <col min="13060" max="13060" width="26.453125" style="97" customWidth="1"/>
    <col min="13061" max="13063" width="30.453125" style="97" customWidth="1"/>
    <col min="13064" max="13312" width="8.7265625" style="97"/>
    <col min="13313" max="13313" width="7.453125" style="97" customWidth="1"/>
    <col min="13314" max="13314" width="8.81640625" style="97" customWidth="1"/>
    <col min="13315" max="13315" width="30.7265625" style="97" customWidth="1"/>
    <col min="13316" max="13316" width="26.453125" style="97" customWidth="1"/>
    <col min="13317" max="13319" width="30.453125" style="97" customWidth="1"/>
    <col min="13320" max="13568" width="8.7265625" style="97"/>
    <col min="13569" max="13569" width="7.453125" style="97" customWidth="1"/>
    <col min="13570" max="13570" width="8.81640625" style="97" customWidth="1"/>
    <col min="13571" max="13571" width="30.7265625" style="97" customWidth="1"/>
    <col min="13572" max="13572" width="26.453125" style="97" customWidth="1"/>
    <col min="13573" max="13575" width="30.453125" style="97" customWidth="1"/>
    <col min="13576" max="13824" width="8.7265625" style="97"/>
    <col min="13825" max="13825" width="7.453125" style="97" customWidth="1"/>
    <col min="13826" max="13826" width="8.81640625" style="97" customWidth="1"/>
    <col min="13827" max="13827" width="30.7265625" style="97" customWidth="1"/>
    <col min="13828" max="13828" width="26.453125" style="97" customWidth="1"/>
    <col min="13829" max="13831" width="30.453125" style="97" customWidth="1"/>
    <col min="13832" max="14080" width="8.7265625" style="97"/>
    <col min="14081" max="14081" width="7.453125" style="97" customWidth="1"/>
    <col min="14082" max="14082" width="8.81640625" style="97" customWidth="1"/>
    <col min="14083" max="14083" width="30.7265625" style="97" customWidth="1"/>
    <col min="14084" max="14084" width="26.453125" style="97" customWidth="1"/>
    <col min="14085" max="14087" width="30.453125" style="97" customWidth="1"/>
    <col min="14088" max="14336" width="8.7265625" style="97"/>
    <col min="14337" max="14337" width="7.453125" style="97" customWidth="1"/>
    <col min="14338" max="14338" width="8.81640625" style="97" customWidth="1"/>
    <col min="14339" max="14339" width="30.7265625" style="97" customWidth="1"/>
    <col min="14340" max="14340" width="26.453125" style="97" customWidth="1"/>
    <col min="14341" max="14343" width="30.453125" style="97" customWidth="1"/>
    <col min="14344" max="14592" width="8.7265625" style="97"/>
    <col min="14593" max="14593" width="7.453125" style="97" customWidth="1"/>
    <col min="14594" max="14594" width="8.81640625" style="97" customWidth="1"/>
    <col min="14595" max="14595" width="30.7265625" style="97" customWidth="1"/>
    <col min="14596" max="14596" width="26.453125" style="97" customWidth="1"/>
    <col min="14597" max="14599" width="30.453125" style="97" customWidth="1"/>
    <col min="14600" max="14848" width="8.7265625" style="97"/>
    <col min="14849" max="14849" width="7.453125" style="97" customWidth="1"/>
    <col min="14850" max="14850" width="8.81640625" style="97" customWidth="1"/>
    <col min="14851" max="14851" width="30.7265625" style="97" customWidth="1"/>
    <col min="14852" max="14852" width="26.453125" style="97" customWidth="1"/>
    <col min="14853" max="14855" width="30.453125" style="97" customWidth="1"/>
    <col min="14856" max="15104" width="8.7265625" style="97"/>
    <col min="15105" max="15105" width="7.453125" style="97" customWidth="1"/>
    <col min="15106" max="15106" width="8.81640625" style="97" customWidth="1"/>
    <col min="15107" max="15107" width="30.7265625" style="97" customWidth="1"/>
    <col min="15108" max="15108" width="26.453125" style="97" customWidth="1"/>
    <col min="15109" max="15111" width="30.453125" style="97" customWidth="1"/>
    <col min="15112" max="15360" width="8.7265625" style="97"/>
    <col min="15361" max="15361" width="7.453125" style="97" customWidth="1"/>
    <col min="15362" max="15362" width="8.81640625" style="97" customWidth="1"/>
    <col min="15363" max="15363" width="30.7265625" style="97" customWidth="1"/>
    <col min="15364" max="15364" width="26.453125" style="97" customWidth="1"/>
    <col min="15365" max="15367" width="30.453125" style="97" customWidth="1"/>
    <col min="15368" max="15616" width="8.7265625" style="97"/>
    <col min="15617" max="15617" width="7.453125" style="97" customWidth="1"/>
    <col min="15618" max="15618" width="8.81640625" style="97" customWidth="1"/>
    <col min="15619" max="15619" width="30.7265625" style="97" customWidth="1"/>
    <col min="15620" max="15620" width="26.453125" style="97" customWidth="1"/>
    <col min="15621" max="15623" width="30.453125" style="97" customWidth="1"/>
    <col min="15624" max="15872" width="8.7265625" style="97"/>
    <col min="15873" max="15873" width="7.453125" style="97" customWidth="1"/>
    <col min="15874" max="15874" width="8.81640625" style="97" customWidth="1"/>
    <col min="15875" max="15875" width="30.7265625" style="97" customWidth="1"/>
    <col min="15876" max="15876" width="26.453125" style="97" customWidth="1"/>
    <col min="15877" max="15879" width="30.453125" style="97" customWidth="1"/>
    <col min="15880" max="16128" width="8.7265625" style="97"/>
    <col min="16129" max="16129" width="7.453125" style="97" customWidth="1"/>
    <col min="16130" max="16130" width="8.81640625" style="97" customWidth="1"/>
    <col min="16131" max="16131" width="30.7265625" style="97" customWidth="1"/>
    <col min="16132" max="16132" width="26.453125" style="97" customWidth="1"/>
    <col min="16133" max="16135" width="30.453125" style="97" customWidth="1"/>
    <col min="16136" max="16384" width="8.7265625" style="97"/>
  </cols>
  <sheetData>
    <row r="1" spans="1:15" s="94" customFormat="1" ht="14">
      <c r="A1" s="573" t="s">
        <v>100</v>
      </c>
      <c r="B1" s="574"/>
      <c r="C1" s="574"/>
      <c r="D1" s="574"/>
      <c r="E1" s="574"/>
      <c r="F1" s="574"/>
      <c r="G1" s="574"/>
      <c r="H1" s="574"/>
      <c r="I1" s="574"/>
      <c r="J1" s="574"/>
      <c r="K1" s="574"/>
      <c r="L1" s="574"/>
      <c r="M1" s="574"/>
      <c r="N1" s="574"/>
      <c r="O1" s="574"/>
    </row>
    <row r="3" spans="1:15" s="94" customFormat="1" ht="65">
      <c r="A3" s="575" t="s">
        <v>101</v>
      </c>
      <c r="B3" s="572"/>
      <c r="C3" s="100" t="s">
        <v>102</v>
      </c>
      <c r="D3" s="100" t="s">
        <v>103</v>
      </c>
      <c r="E3" s="100" t="s">
        <v>104</v>
      </c>
      <c r="F3" s="100" t="s">
        <v>105</v>
      </c>
      <c r="G3" s="100" t="s">
        <v>106</v>
      </c>
    </row>
    <row r="4" spans="1:15" s="94" customFormat="1" ht="13">
      <c r="A4" s="570">
        <v>1982</v>
      </c>
      <c r="B4" s="572"/>
      <c r="C4" s="95">
        <v>1311.6</v>
      </c>
      <c r="D4" s="95">
        <v>3.9</v>
      </c>
      <c r="E4" s="95">
        <v>28.7</v>
      </c>
      <c r="F4" s="100" t="s">
        <v>107</v>
      </c>
      <c r="G4" s="100" t="s">
        <v>107</v>
      </c>
    </row>
    <row r="5" spans="1:15" s="94" customFormat="1" ht="13">
      <c r="A5" s="570">
        <v>1983</v>
      </c>
      <c r="B5" s="572"/>
      <c r="C5" s="95">
        <v>1334.3</v>
      </c>
      <c r="D5" s="95">
        <v>3.9</v>
      </c>
      <c r="E5" s="95">
        <v>30.7</v>
      </c>
      <c r="F5" s="100" t="s">
        <v>107</v>
      </c>
      <c r="G5" s="100" t="s">
        <v>107</v>
      </c>
    </row>
    <row r="6" spans="1:15" s="94" customFormat="1" ht="13">
      <c r="A6" s="570">
        <v>1984</v>
      </c>
      <c r="B6" s="572"/>
      <c r="C6" s="95">
        <v>1378.7</v>
      </c>
      <c r="D6" s="95">
        <v>3.7</v>
      </c>
      <c r="E6" s="95">
        <v>31.2</v>
      </c>
      <c r="F6" s="100" t="s">
        <v>107</v>
      </c>
      <c r="G6" s="100" t="s">
        <v>107</v>
      </c>
    </row>
    <row r="7" spans="1:15" s="94" customFormat="1" ht="13">
      <c r="A7" s="570">
        <v>1985</v>
      </c>
      <c r="B7" s="572"/>
      <c r="C7" s="95">
        <v>1417.7</v>
      </c>
      <c r="D7" s="95">
        <v>3.7</v>
      </c>
      <c r="E7" s="95">
        <v>32.799999999999997</v>
      </c>
      <c r="F7" s="95">
        <v>6.6</v>
      </c>
      <c r="G7" s="95">
        <v>51.8</v>
      </c>
    </row>
    <row r="8" spans="1:15" s="94" customFormat="1" ht="13">
      <c r="A8" s="570">
        <v>1986</v>
      </c>
      <c r="B8" s="572"/>
      <c r="C8" s="95">
        <v>1473.1</v>
      </c>
      <c r="D8" s="95">
        <v>3.6</v>
      </c>
      <c r="E8" s="95">
        <v>34.9</v>
      </c>
      <c r="F8" s="95">
        <v>9.1</v>
      </c>
      <c r="G8" s="95">
        <v>53.9</v>
      </c>
    </row>
    <row r="9" spans="1:15" s="94" customFormat="1" ht="13">
      <c r="A9" s="570">
        <v>1987</v>
      </c>
      <c r="B9" s="572"/>
      <c r="C9" s="95">
        <v>1496.1</v>
      </c>
      <c r="D9" s="95">
        <v>3.6</v>
      </c>
      <c r="E9" s="95">
        <v>37.9</v>
      </c>
      <c r="F9" s="95">
        <v>10.1</v>
      </c>
      <c r="G9" s="95">
        <v>59.1</v>
      </c>
    </row>
    <row r="10" spans="1:15" s="94" customFormat="1" ht="13">
      <c r="A10" s="570">
        <v>1988</v>
      </c>
      <c r="B10" s="572"/>
      <c r="C10" s="95">
        <v>1532.6</v>
      </c>
      <c r="D10" s="95">
        <v>3.6</v>
      </c>
      <c r="E10" s="95">
        <v>39.4</v>
      </c>
      <c r="F10" s="95">
        <v>11.9</v>
      </c>
      <c r="G10" s="95">
        <v>60.8</v>
      </c>
    </row>
    <row r="11" spans="1:15" s="94" customFormat="1" ht="13">
      <c r="A11" s="570">
        <v>1989</v>
      </c>
      <c r="B11" s="572"/>
      <c r="C11" s="95">
        <v>1549</v>
      </c>
      <c r="D11" s="95">
        <v>3.6</v>
      </c>
      <c r="E11" s="95">
        <v>41.6</v>
      </c>
      <c r="F11" s="95">
        <v>12.9</v>
      </c>
      <c r="G11" s="95">
        <v>64.5</v>
      </c>
    </row>
    <row r="12" spans="1:15" s="94" customFormat="1" ht="13">
      <c r="A12" s="570">
        <v>1990</v>
      </c>
      <c r="B12" s="572"/>
      <c r="C12" s="95">
        <v>1559</v>
      </c>
      <c r="D12" s="95">
        <v>3.5</v>
      </c>
      <c r="E12" s="95">
        <v>42.6</v>
      </c>
      <c r="F12" s="95">
        <v>14.2</v>
      </c>
      <c r="G12" s="95">
        <v>66.3</v>
      </c>
    </row>
    <row r="13" spans="1:15" s="94" customFormat="1" ht="13">
      <c r="A13" s="570">
        <v>1991</v>
      </c>
      <c r="B13" s="572"/>
      <c r="C13" s="95">
        <v>1601.9</v>
      </c>
      <c r="D13" s="95">
        <v>3.5</v>
      </c>
      <c r="E13" s="95">
        <v>43.1</v>
      </c>
      <c r="F13" s="95">
        <v>15.8</v>
      </c>
      <c r="G13" s="95">
        <v>66.5</v>
      </c>
    </row>
    <row r="14" spans="1:15" s="94" customFormat="1" ht="13">
      <c r="A14" s="570">
        <v>1992</v>
      </c>
      <c r="B14" s="572"/>
      <c r="C14" s="95">
        <v>1633.5</v>
      </c>
      <c r="D14" s="95">
        <v>3.4</v>
      </c>
      <c r="E14" s="95">
        <v>43.5</v>
      </c>
      <c r="F14" s="95">
        <v>16.3</v>
      </c>
      <c r="G14" s="95">
        <v>68</v>
      </c>
    </row>
    <row r="15" spans="1:15" s="94" customFormat="1" ht="13">
      <c r="A15" s="570">
        <v>1993</v>
      </c>
      <c r="B15" s="572"/>
      <c r="C15" s="95">
        <v>1677.7</v>
      </c>
      <c r="D15" s="95">
        <v>3.5</v>
      </c>
      <c r="E15" s="95">
        <v>44.6</v>
      </c>
      <c r="F15" s="95">
        <v>18.2</v>
      </c>
      <c r="G15" s="95">
        <v>68.599999999999994</v>
      </c>
    </row>
    <row r="16" spans="1:15" s="94" customFormat="1" ht="13">
      <c r="A16" s="570">
        <v>1994</v>
      </c>
      <c r="B16" s="572"/>
      <c r="C16" s="95">
        <v>1729.1</v>
      </c>
      <c r="D16" s="95">
        <v>3.4</v>
      </c>
      <c r="E16" s="95">
        <v>45.1</v>
      </c>
      <c r="F16" s="95">
        <v>20.5</v>
      </c>
      <c r="G16" s="95">
        <v>67.8</v>
      </c>
    </row>
    <row r="17" spans="1:7" s="94" customFormat="1" ht="13">
      <c r="A17" s="570">
        <v>1995</v>
      </c>
      <c r="B17" s="572"/>
      <c r="C17" s="95">
        <v>1783</v>
      </c>
      <c r="D17" s="95">
        <v>3.4</v>
      </c>
      <c r="E17" s="95">
        <v>45.2</v>
      </c>
      <c r="F17" s="95">
        <v>21.6</v>
      </c>
      <c r="G17" s="95">
        <v>67.3</v>
      </c>
    </row>
    <row r="18" spans="1:7" s="94" customFormat="1" ht="13">
      <c r="A18" s="570">
        <v>1996</v>
      </c>
      <c r="B18" s="572"/>
      <c r="C18" s="95">
        <v>1864.5</v>
      </c>
      <c r="D18" s="95">
        <v>3.4</v>
      </c>
      <c r="E18" s="95">
        <v>45.9</v>
      </c>
      <c r="F18" s="95">
        <v>21.9</v>
      </c>
      <c r="G18" s="95">
        <v>67.099999999999994</v>
      </c>
    </row>
    <row r="19" spans="1:7" s="94" customFormat="1" ht="13">
      <c r="A19" s="570">
        <v>1997</v>
      </c>
      <c r="B19" s="572"/>
      <c r="C19" s="95">
        <v>1922.8</v>
      </c>
      <c r="D19" s="95">
        <v>3.3</v>
      </c>
      <c r="E19" s="95">
        <v>46.7</v>
      </c>
      <c r="F19" s="95">
        <v>23</v>
      </c>
      <c r="G19" s="95">
        <v>66.5</v>
      </c>
    </row>
    <row r="20" spans="1:7" s="94" customFormat="1" ht="13">
      <c r="A20" s="570">
        <v>1998</v>
      </c>
      <c r="B20" s="572"/>
      <c r="C20" s="95">
        <v>1961.5</v>
      </c>
      <c r="D20" s="95">
        <v>3.3</v>
      </c>
      <c r="E20" s="95">
        <v>46.6</v>
      </c>
      <c r="F20" s="95">
        <v>25</v>
      </c>
      <c r="G20" s="95">
        <v>66</v>
      </c>
    </row>
    <row r="21" spans="1:7" s="94" customFormat="1" ht="13">
      <c r="A21" s="570">
        <v>1999</v>
      </c>
      <c r="B21" s="572"/>
      <c r="C21" s="95">
        <v>1998.9</v>
      </c>
      <c r="D21" s="95">
        <v>3.3</v>
      </c>
      <c r="E21" s="95">
        <v>48.2</v>
      </c>
      <c r="F21" s="95">
        <v>27.8</v>
      </c>
      <c r="G21" s="95">
        <v>66.8</v>
      </c>
    </row>
    <row r="22" spans="1:7" s="94" customFormat="1" ht="13">
      <c r="A22" s="570">
        <v>2000</v>
      </c>
      <c r="B22" s="572"/>
      <c r="C22" s="95">
        <v>2037</v>
      </c>
      <c r="D22" s="95">
        <v>3.3</v>
      </c>
      <c r="E22" s="95">
        <v>51.1</v>
      </c>
      <c r="F22" s="95">
        <v>31.5</v>
      </c>
      <c r="G22" s="95">
        <v>68.900000000000006</v>
      </c>
    </row>
    <row r="23" spans="1:7" s="94" customFormat="1" ht="13">
      <c r="A23" s="570">
        <v>2001</v>
      </c>
      <c r="B23" s="572"/>
      <c r="C23" s="95">
        <v>2054.5</v>
      </c>
      <c r="D23" s="95">
        <v>3.2</v>
      </c>
      <c r="E23" s="95">
        <v>52.2</v>
      </c>
      <c r="F23" s="95">
        <v>35.799999999999997</v>
      </c>
      <c r="G23" s="95">
        <v>67</v>
      </c>
    </row>
    <row r="24" spans="1:7" s="94" customFormat="1" ht="13">
      <c r="A24" s="570">
        <v>2002</v>
      </c>
      <c r="B24" s="572"/>
      <c r="C24" s="95">
        <v>2080.5</v>
      </c>
      <c r="D24" s="95">
        <v>3.2</v>
      </c>
      <c r="E24" s="95">
        <v>53</v>
      </c>
      <c r="F24" s="95">
        <v>35.200000000000003</v>
      </c>
      <c r="G24" s="95">
        <v>69.099999999999994</v>
      </c>
    </row>
    <row r="25" spans="1:7" s="94" customFormat="1" ht="13">
      <c r="A25" s="570">
        <v>2003</v>
      </c>
      <c r="B25" s="572"/>
      <c r="C25" s="95">
        <v>2114</v>
      </c>
      <c r="D25" s="95">
        <v>3.1</v>
      </c>
      <c r="E25" s="95">
        <v>53.4</v>
      </c>
      <c r="F25" s="95">
        <v>35.299999999999997</v>
      </c>
      <c r="G25" s="95">
        <v>69.900000000000006</v>
      </c>
    </row>
    <row r="26" spans="1:7" s="94" customFormat="1" ht="13">
      <c r="A26" s="570">
        <v>2004</v>
      </c>
      <c r="B26" s="572"/>
      <c r="C26" s="95">
        <v>2140.5</v>
      </c>
      <c r="D26" s="95">
        <v>3.1</v>
      </c>
      <c r="E26" s="95">
        <v>54.3</v>
      </c>
      <c r="F26" s="95">
        <v>35.200000000000003</v>
      </c>
      <c r="G26" s="95">
        <v>71.3</v>
      </c>
    </row>
    <row r="27" spans="1:7" s="94" customFormat="1" ht="13">
      <c r="A27" s="570">
        <v>2005</v>
      </c>
      <c r="B27" s="572"/>
      <c r="C27" s="95">
        <v>2197.1</v>
      </c>
      <c r="D27" s="95">
        <v>3</v>
      </c>
      <c r="E27" s="95">
        <v>53.7</v>
      </c>
      <c r="F27" s="95">
        <v>34.6</v>
      </c>
      <c r="G27" s="95">
        <v>70.3</v>
      </c>
    </row>
    <row r="28" spans="1:7" s="94" customFormat="1" ht="13">
      <c r="A28" s="570">
        <v>2006</v>
      </c>
      <c r="B28" s="572"/>
      <c r="C28" s="95">
        <v>2220.9</v>
      </c>
      <c r="D28" s="95">
        <v>3</v>
      </c>
      <c r="E28" s="95">
        <v>53.5</v>
      </c>
      <c r="F28" s="95">
        <v>34.1</v>
      </c>
      <c r="G28" s="95">
        <v>70.5</v>
      </c>
    </row>
    <row r="29" spans="1:7" s="94" customFormat="1" ht="13">
      <c r="A29" s="570">
        <v>2007</v>
      </c>
      <c r="B29" s="572"/>
      <c r="C29" s="95">
        <v>2249.9</v>
      </c>
      <c r="D29" s="95">
        <v>3</v>
      </c>
      <c r="E29" s="95">
        <v>53.1</v>
      </c>
      <c r="F29" s="95">
        <v>34.4</v>
      </c>
      <c r="G29" s="95">
        <v>69.5</v>
      </c>
    </row>
    <row r="30" spans="1:7" s="94" customFormat="1" ht="13">
      <c r="A30" s="570">
        <v>2008</v>
      </c>
      <c r="B30" s="572"/>
      <c r="C30" s="95">
        <v>2279.1</v>
      </c>
      <c r="D30" s="95">
        <v>3</v>
      </c>
      <c r="E30" s="95">
        <v>53.6</v>
      </c>
      <c r="F30" s="95">
        <v>34.9</v>
      </c>
      <c r="G30" s="95">
        <v>69.7</v>
      </c>
    </row>
    <row r="31" spans="1:7" s="94" customFormat="1" ht="13">
      <c r="A31" s="570">
        <v>2009</v>
      </c>
      <c r="B31" s="572"/>
      <c r="C31" s="95">
        <v>2297.1999999999998</v>
      </c>
      <c r="D31" s="95">
        <v>2.9</v>
      </c>
      <c r="E31" s="95">
        <v>53.5</v>
      </c>
      <c r="F31" s="95">
        <v>34.6</v>
      </c>
      <c r="G31" s="95">
        <v>69.7</v>
      </c>
    </row>
    <row r="32" spans="1:7" s="94" customFormat="1" ht="13">
      <c r="A32" s="570">
        <v>2010</v>
      </c>
      <c r="B32" s="572"/>
      <c r="C32" s="95">
        <v>2325.1</v>
      </c>
      <c r="D32" s="95">
        <v>2.9</v>
      </c>
      <c r="E32" s="95">
        <v>53.1</v>
      </c>
      <c r="F32" s="95">
        <v>34.200000000000003</v>
      </c>
      <c r="G32" s="95">
        <v>69.400000000000006</v>
      </c>
    </row>
    <row r="33" spans="1:7" s="94" customFormat="1" ht="13">
      <c r="A33" s="570">
        <v>2011</v>
      </c>
      <c r="B33" s="572"/>
      <c r="C33" s="95">
        <v>2359.3000000000002</v>
      </c>
      <c r="D33" s="95">
        <v>2.9</v>
      </c>
      <c r="E33" s="95">
        <v>53.2</v>
      </c>
      <c r="F33" s="95">
        <v>33.6</v>
      </c>
      <c r="G33" s="95">
        <v>69.8</v>
      </c>
    </row>
    <row r="34" spans="1:7" s="94" customFormat="1" ht="13">
      <c r="A34" s="570">
        <v>2012</v>
      </c>
      <c r="B34" s="572"/>
      <c r="C34" s="95">
        <v>2386.1999999999998</v>
      </c>
      <c r="D34" s="95">
        <v>2.9</v>
      </c>
      <c r="E34" s="95">
        <v>52</v>
      </c>
      <c r="F34" s="95">
        <v>33</v>
      </c>
      <c r="G34" s="95">
        <v>68.3</v>
      </c>
    </row>
    <row r="35" spans="1:7" s="94" customFormat="1" ht="13">
      <c r="A35" s="570">
        <v>2013</v>
      </c>
      <c r="B35" s="572"/>
      <c r="C35" s="95">
        <v>2407.3000000000002</v>
      </c>
      <c r="D35" s="95">
        <v>2.9</v>
      </c>
      <c r="E35" s="95">
        <v>51.1</v>
      </c>
      <c r="F35" s="95">
        <v>32.799999999999997</v>
      </c>
      <c r="G35" s="95">
        <v>66.7</v>
      </c>
    </row>
    <row r="36" spans="1:7" s="94" customFormat="1" ht="13">
      <c r="A36" s="570">
        <v>2014</v>
      </c>
      <c r="B36" s="572"/>
      <c r="C36" s="95">
        <v>2432.4</v>
      </c>
      <c r="D36" s="95">
        <v>2.9</v>
      </c>
      <c r="E36" s="95">
        <v>50.9</v>
      </c>
      <c r="F36" s="95">
        <v>32.700000000000003</v>
      </c>
      <c r="G36" s="95">
        <v>66.400000000000006</v>
      </c>
    </row>
    <row r="37" spans="1:7" s="94" customFormat="1" ht="13">
      <c r="A37" s="570">
        <v>2015</v>
      </c>
      <c r="B37" s="572"/>
      <c r="C37" s="95">
        <v>2471.1</v>
      </c>
      <c r="D37" s="95">
        <v>2.9</v>
      </c>
      <c r="E37" s="95">
        <v>50.3</v>
      </c>
      <c r="F37" s="95">
        <v>32.200000000000003</v>
      </c>
      <c r="G37" s="95">
        <v>65.7</v>
      </c>
    </row>
    <row r="38" spans="1:7" s="94" customFormat="1" ht="13">
      <c r="A38" s="570">
        <v>2016</v>
      </c>
      <c r="B38" s="572"/>
      <c r="C38" s="95">
        <v>2498.9</v>
      </c>
      <c r="D38" s="95">
        <v>2.8</v>
      </c>
      <c r="E38" s="95">
        <v>50.4</v>
      </c>
      <c r="F38" s="95">
        <v>31.9</v>
      </c>
      <c r="G38" s="95">
        <v>65.8</v>
      </c>
    </row>
    <row r="39" spans="1:7" s="94" customFormat="1" ht="13">
      <c r="A39" s="570">
        <v>2017</v>
      </c>
      <c r="B39" s="572"/>
      <c r="C39" s="95">
        <v>2534.6999999999998</v>
      </c>
      <c r="D39" s="95">
        <v>2.8</v>
      </c>
      <c r="E39" s="95">
        <v>49.2</v>
      </c>
      <c r="F39" s="95">
        <v>31.8</v>
      </c>
      <c r="G39" s="95">
        <v>63.8</v>
      </c>
    </row>
    <row r="40" spans="1:7" s="94" customFormat="1" ht="13">
      <c r="A40" s="570" t="s">
        <v>108</v>
      </c>
      <c r="B40" s="572"/>
      <c r="C40" s="95">
        <v>1297.7</v>
      </c>
      <c r="D40" s="95">
        <v>3.8</v>
      </c>
      <c r="E40" s="95">
        <v>28.7</v>
      </c>
      <c r="F40" s="100" t="s">
        <v>107</v>
      </c>
      <c r="G40" s="100" t="s">
        <v>107</v>
      </c>
    </row>
    <row r="41" spans="1:7" s="94" customFormat="1" ht="13">
      <c r="A41" s="570" t="s">
        <v>109</v>
      </c>
      <c r="B41" s="572"/>
      <c r="C41" s="95">
        <v>1297.4000000000001</v>
      </c>
      <c r="D41" s="95">
        <v>3.9</v>
      </c>
      <c r="E41" s="95">
        <v>28.3</v>
      </c>
      <c r="F41" s="100" t="s">
        <v>107</v>
      </c>
      <c r="G41" s="100" t="s">
        <v>107</v>
      </c>
    </row>
    <row r="42" spans="1:7" s="94" customFormat="1" ht="13">
      <c r="A42" s="570" t="s">
        <v>110</v>
      </c>
      <c r="B42" s="572"/>
      <c r="C42" s="95">
        <v>1317.5</v>
      </c>
      <c r="D42" s="95">
        <v>3.9</v>
      </c>
      <c r="E42" s="95">
        <v>28.5</v>
      </c>
      <c r="F42" s="100" t="s">
        <v>107</v>
      </c>
      <c r="G42" s="100" t="s">
        <v>107</v>
      </c>
    </row>
    <row r="43" spans="1:7" s="94" customFormat="1" ht="13">
      <c r="A43" s="570" t="s">
        <v>111</v>
      </c>
      <c r="B43" s="572"/>
      <c r="C43" s="95">
        <v>1312.3</v>
      </c>
      <c r="D43" s="95">
        <v>3.9</v>
      </c>
      <c r="E43" s="95">
        <v>29</v>
      </c>
      <c r="F43" s="100" t="s">
        <v>107</v>
      </c>
      <c r="G43" s="100" t="s">
        <v>107</v>
      </c>
    </row>
    <row r="44" spans="1:7" s="94" customFormat="1" ht="13">
      <c r="A44" s="570" t="s">
        <v>112</v>
      </c>
      <c r="B44" s="572"/>
      <c r="C44" s="95">
        <v>1319.3</v>
      </c>
      <c r="D44" s="95">
        <v>3.9</v>
      </c>
      <c r="E44" s="95">
        <v>29</v>
      </c>
      <c r="F44" s="100" t="s">
        <v>107</v>
      </c>
      <c r="G44" s="100" t="s">
        <v>107</v>
      </c>
    </row>
    <row r="45" spans="1:7" s="94" customFormat="1" ht="13">
      <c r="A45" s="570" t="s">
        <v>113</v>
      </c>
      <c r="B45" s="572"/>
      <c r="C45" s="95">
        <v>1320.1</v>
      </c>
      <c r="D45" s="95">
        <v>3.9</v>
      </c>
      <c r="E45" s="95">
        <v>31.1</v>
      </c>
      <c r="F45" s="100" t="s">
        <v>107</v>
      </c>
      <c r="G45" s="100" t="s">
        <v>107</v>
      </c>
    </row>
    <row r="46" spans="1:7" s="94" customFormat="1" ht="13">
      <c r="A46" s="570" t="s">
        <v>114</v>
      </c>
      <c r="B46" s="572"/>
      <c r="C46" s="95">
        <v>1330.5</v>
      </c>
      <c r="D46" s="95">
        <v>3.9</v>
      </c>
      <c r="E46" s="95">
        <v>30.9</v>
      </c>
      <c r="F46" s="100" t="s">
        <v>107</v>
      </c>
      <c r="G46" s="100" t="s">
        <v>107</v>
      </c>
    </row>
    <row r="47" spans="1:7" s="94" customFormat="1" ht="13">
      <c r="A47" s="570" t="s">
        <v>115</v>
      </c>
      <c r="B47" s="572"/>
      <c r="C47" s="95">
        <v>1336.9</v>
      </c>
      <c r="D47" s="95">
        <v>3.8</v>
      </c>
      <c r="E47" s="95">
        <v>30.3</v>
      </c>
      <c r="F47" s="100" t="s">
        <v>107</v>
      </c>
      <c r="G47" s="100" t="s">
        <v>107</v>
      </c>
    </row>
    <row r="48" spans="1:7" s="94" customFormat="1" ht="13">
      <c r="A48" s="570" t="s">
        <v>116</v>
      </c>
      <c r="B48" s="572"/>
      <c r="C48" s="95">
        <v>1349.9</v>
      </c>
      <c r="D48" s="95">
        <v>3.8</v>
      </c>
      <c r="E48" s="95">
        <v>30.3</v>
      </c>
      <c r="F48" s="100" t="s">
        <v>107</v>
      </c>
      <c r="G48" s="100" t="s">
        <v>107</v>
      </c>
    </row>
    <row r="49" spans="1:7" s="94" customFormat="1" ht="13">
      <c r="A49" s="570" t="s">
        <v>117</v>
      </c>
      <c r="B49" s="572"/>
      <c r="C49" s="95">
        <v>1345.4</v>
      </c>
      <c r="D49" s="95">
        <v>3.8</v>
      </c>
      <c r="E49" s="95">
        <v>30.9</v>
      </c>
      <c r="F49" s="100" t="s">
        <v>107</v>
      </c>
      <c r="G49" s="100" t="s">
        <v>107</v>
      </c>
    </row>
    <row r="50" spans="1:7" s="94" customFormat="1" ht="13">
      <c r="A50" s="570" t="s">
        <v>118</v>
      </c>
      <c r="B50" s="572"/>
      <c r="C50" s="95">
        <v>1378.1</v>
      </c>
      <c r="D50" s="95">
        <v>3.8</v>
      </c>
      <c r="E50" s="95">
        <v>30.9</v>
      </c>
      <c r="F50" s="100" t="s">
        <v>107</v>
      </c>
      <c r="G50" s="100" t="s">
        <v>107</v>
      </c>
    </row>
    <row r="51" spans="1:7" s="94" customFormat="1" ht="13">
      <c r="A51" s="570" t="s">
        <v>119</v>
      </c>
      <c r="B51" s="572"/>
      <c r="C51" s="95">
        <v>1386.3</v>
      </c>
      <c r="D51" s="95">
        <v>3.7</v>
      </c>
      <c r="E51" s="95">
        <v>31.8</v>
      </c>
      <c r="F51" s="100" t="s">
        <v>107</v>
      </c>
      <c r="G51" s="100" t="s">
        <v>107</v>
      </c>
    </row>
    <row r="52" spans="1:7" s="94" customFormat="1" ht="13">
      <c r="A52" s="570" t="s">
        <v>120</v>
      </c>
      <c r="B52" s="572"/>
      <c r="C52" s="95">
        <v>1405</v>
      </c>
      <c r="D52" s="95">
        <v>3.7</v>
      </c>
      <c r="E52" s="95">
        <v>31.3</v>
      </c>
      <c r="F52" s="100" t="s">
        <v>107</v>
      </c>
      <c r="G52" s="100" t="s">
        <v>107</v>
      </c>
    </row>
    <row r="53" spans="1:7" s="94" customFormat="1" ht="13">
      <c r="A53" s="570" t="s">
        <v>121</v>
      </c>
      <c r="B53" s="572"/>
      <c r="C53" s="95">
        <v>1402.9</v>
      </c>
      <c r="D53" s="95">
        <v>3.7</v>
      </c>
      <c r="E53" s="95">
        <v>31.4</v>
      </c>
      <c r="F53" s="95">
        <v>5.9</v>
      </c>
      <c r="G53" s="95">
        <v>50.2</v>
      </c>
    </row>
    <row r="54" spans="1:7" s="94" customFormat="1" ht="13">
      <c r="A54" s="570" t="s">
        <v>122</v>
      </c>
      <c r="B54" s="572"/>
      <c r="C54" s="95">
        <v>1416.7</v>
      </c>
      <c r="D54" s="95">
        <v>3.7</v>
      </c>
      <c r="E54" s="95">
        <v>32.799999999999997</v>
      </c>
      <c r="F54" s="95">
        <v>6.3</v>
      </c>
      <c r="G54" s="95">
        <v>51.6</v>
      </c>
    </row>
    <row r="55" spans="1:7" s="94" customFormat="1" ht="13">
      <c r="A55" s="570" t="s">
        <v>123</v>
      </c>
      <c r="B55" s="572"/>
      <c r="C55" s="95">
        <v>1416.5</v>
      </c>
      <c r="D55" s="95">
        <v>3.7</v>
      </c>
      <c r="E55" s="95">
        <v>33.9</v>
      </c>
      <c r="F55" s="95">
        <v>6.9</v>
      </c>
      <c r="G55" s="95">
        <v>53.6</v>
      </c>
    </row>
    <row r="56" spans="1:7" s="94" customFormat="1" ht="13">
      <c r="A56" s="570" t="s">
        <v>124</v>
      </c>
      <c r="B56" s="572"/>
      <c r="C56" s="95">
        <v>1434.7</v>
      </c>
      <c r="D56" s="95">
        <v>3.7</v>
      </c>
      <c r="E56" s="95">
        <v>33.200000000000003</v>
      </c>
      <c r="F56" s="95">
        <v>7.3</v>
      </c>
      <c r="G56" s="95">
        <v>51.8</v>
      </c>
    </row>
    <row r="57" spans="1:7" s="94" customFormat="1" ht="13">
      <c r="A57" s="570" t="s">
        <v>125</v>
      </c>
      <c r="B57" s="572"/>
      <c r="C57" s="95">
        <v>1453</v>
      </c>
      <c r="D57" s="95">
        <v>3.7</v>
      </c>
      <c r="E57" s="95">
        <v>32.9</v>
      </c>
      <c r="F57" s="95">
        <v>7.9</v>
      </c>
      <c r="G57" s="95">
        <v>50.6</v>
      </c>
    </row>
    <row r="58" spans="1:7" s="94" customFormat="1" ht="13">
      <c r="A58" s="570" t="s">
        <v>126</v>
      </c>
      <c r="B58" s="572"/>
      <c r="C58" s="95">
        <v>1469.7</v>
      </c>
      <c r="D58" s="95">
        <v>3.6</v>
      </c>
      <c r="E58" s="95">
        <v>34</v>
      </c>
      <c r="F58" s="95">
        <v>9</v>
      </c>
      <c r="G58" s="95">
        <v>52</v>
      </c>
    </row>
    <row r="59" spans="1:7" s="94" customFormat="1" ht="13">
      <c r="A59" s="570" t="s">
        <v>127</v>
      </c>
      <c r="B59" s="572"/>
      <c r="C59" s="95">
        <v>1481.4</v>
      </c>
      <c r="D59" s="95">
        <v>3.6</v>
      </c>
      <c r="E59" s="95">
        <v>36</v>
      </c>
      <c r="F59" s="95">
        <v>9.5</v>
      </c>
      <c r="G59" s="95">
        <v>56.4</v>
      </c>
    </row>
    <row r="60" spans="1:7" s="94" customFormat="1" ht="13">
      <c r="A60" s="570" t="s">
        <v>128</v>
      </c>
      <c r="B60" s="572"/>
      <c r="C60" s="95">
        <v>1488.2</v>
      </c>
      <c r="D60" s="95">
        <v>3.6</v>
      </c>
      <c r="E60" s="95">
        <v>36.5</v>
      </c>
      <c r="F60" s="95">
        <v>9.9</v>
      </c>
      <c r="G60" s="95">
        <v>56.9</v>
      </c>
    </row>
    <row r="61" spans="1:7" s="94" customFormat="1" ht="13">
      <c r="A61" s="570" t="s">
        <v>129</v>
      </c>
      <c r="B61" s="572"/>
      <c r="C61" s="95">
        <v>1478.3</v>
      </c>
      <c r="D61" s="95">
        <v>3.6</v>
      </c>
      <c r="E61" s="95">
        <v>37.1</v>
      </c>
      <c r="F61" s="95">
        <v>9.9</v>
      </c>
      <c r="G61" s="95">
        <v>57.7</v>
      </c>
    </row>
    <row r="62" spans="1:7" s="94" customFormat="1" ht="13">
      <c r="A62" s="570" t="s">
        <v>130</v>
      </c>
      <c r="B62" s="572"/>
      <c r="C62" s="95">
        <v>1494.3</v>
      </c>
      <c r="D62" s="95">
        <v>3.6</v>
      </c>
      <c r="E62" s="95">
        <v>37.299999999999997</v>
      </c>
      <c r="F62" s="95">
        <v>10.3</v>
      </c>
      <c r="G62" s="95">
        <v>57.9</v>
      </c>
    </row>
    <row r="63" spans="1:7" s="94" customFormat="1" ht="13">
      <c r="A63" s="570" t="s">
        <v>131</v>
      </c>
      <c r="B63" s="572"/>
      <c r="C63" s="95">
        <v>1496.7</v>
      </c>
      <c r="D63" s="95">
        <v>3.6</v>
      </c>
      <c r="E63" s="95">
        <v>38.5</v>
      </c>
      <c r="F63" s="95">
        <v>10.199999999999999</v>
      </c>
      <c r="G63" s="95">
        <v>60.3</v>
      </c>
    </row>
    <row r="64" spans="1:7" s="94" customFormat="1" ht="13">
      <c r="A64" s="570" t="s">
        <v>132</v>
      </c>
      <c r="B64" s="572"/>
      <c r="C64" s="95">
        <v>1514.9</v>
      </c>
      <c r="D64" s="95">
        <v>3.6</v>
      </c>
      <c r="E64" s="95">
        <v>38.700000000000003</v>
      </c>
      <c r="F64" s="95">
        <v>9.9</v>
      </c>
      <c r="G64" s="95">
        <v>60.4</v>
      </c>
    </row>
    <row r="65" spans="1:7" s="94" customFormat="1" ht="13">
      <c r="A65" s="570" t="s">
        <v>133</v>
      </c>
      <c r="B65" s="572"/>
      <c r="C65" s="95">
        <v>1520.5</v>
      </c>
      <c r="D65" s="95">
        <v>3.6</v>
      </c>
      <c r="E65" s="95">
        <v>39.200000000000003</v>
      </c>
      <c r="F65" s="95">
        <v>11.6</v>
      </c>
      <c r="G65" s="95">
        <v>60.6</v>
      </c>
    </row>
    <row r="66" spans="1:7" s="94" customFormat="1" ht="13">
      <c r="A66" s="570" t="s">
        <v>134</v>
      </c>
      <c r="B66" s="572"/>
      <c r="C66" s="95">
        <v>1531.6</v>
      </c>
      <c r="D66" s="95">
        <v>3.6</v>
      </c>
      <c r="E66" s="95">
        <v>39.1</v>
      </c>
      <c r="F66" s="95">
        <v>12.1</v>
      </c>
      <c r="G66" s="95">
        <v>60.3</v>
      </c>
    </row>
    <row r="67" spans="1:7" s="94" customFormat="1" ht="13">
      <c r="A67" s="570" t="s">
        <v>135</v>
      </c>
      <c r="B67" s="572"/>
      <c r="C67" s="95">
        <v>1534.4</v>
      </c>
      <c r="D67" s="95">
        <v>3.6</v>
      </c>
      <c r="E67" s="95">
        <v>39.200000000000003</v>
      </c>
      <c r="F67" s="95">
        <v>11.8</v>
      </c>
      <c r="G67" s="95">
        <v>60.6</v>
      </c>
    </row>
    <row r="68" spans="1:7" s="94" customFormat="1" ht="13">
      <c r="A68" s="570" t="s">
        <v>136</v>
      </c>
      <c r="B68" s="572"/>
      <c r="C68" s="95">
        <v>1543.8</v>
      </c>
      <c r="D68" s="95">
        <v>3.6</v>
      </c>
      <c r="E68" s="95">
        <v>40.200000000000003</v>
      </c>
      <c r="F68" s="95">
        <v>11.9</v>
      </c>
      <c r="G68" s="95">
        <v>61.6</v>
      </c>
    </row>
    <row r="69" spans="1:7" s="94" customFormat="1" ht="13">
      <c r="A69" s="570" t="s">
        <v>137</v>
      </c>
      <c r="B69" s="572"/>
      <c r="C69" s="95">
        <v>1544.8</v>
      </c>
      <c r="D69" s="95">
        <v>3.6</v>
      </c>
      <c r="E69" s="95">
        <v>41.2</v>
      </c>
      <c r="F69" s="95">
        <v>12.4</v>
      </c>
      <c r="G69" s="95">
        <v>63.3</v>
      </c>
    </row>
    <row r="70" spans="1:7" s="94" customFormat="1" ht="13">
      <c r="A70" s="570" t="s">
        <v>138</v>
      </c>
      <c r="B70" s="572"/>
      <c r="C70" s="95">
        <v>1553.4</v>
      </c>
      <c r="D70" s="95">
        <v>3.6</v>
      </c>
      <c r="E70" s="95">
        <v>41.8</v>
      </c>
      <c r="F70" s="95">
        <v>12.9</v>
      </c>
      <c r="G70" s="95">
        <v>64.3</v>
      </c>
    </row>
    <row r="71" spans="1:7" s="94" customFormat="1" ht="13">
      <c r="A71" s="570" t="s">
        <v>139</v>
      </c>
      <c r="B71" s="572"/>
      <c r="C71" s="95">
        <v>1544.3</v>
      </c>
      <c r="D71" s="95">
        <v>3.6</v>
      </c>
      <c r="E71" s="95">
        <v>42</v>
      </c>
      <c r="F71" s="95">
        <v>13</v>
      </c>
      <c r="G71" s="95">
        <v>65.7</v>
      </c>
    </row>
    <row r="72" spans="1:7" s="94" customFormat="1" ht="13">
      <c r="A72" s="570" t="s">
        <v>140</v>
      </c>
      <c r="B72" s="572"/>
      <c r="C72" s="95">
        <v>1553.5</v>
      </c>
      <c r="D72" s="95">
        <v>3.6</v>
      </c>
      <c r="E72" s="95">
        <v>41.6</v>
      </c>
      <c r="F72" s="95">
        <v>13.3</v>
      </c>
      <c r="G72" s="95">
        <v>64.900000000000006</v>
      </c>
    </row>
    <row r="73" spans="1:7" s="94" customFormat="1" ht="13">
      <c r="A73" s="570" t="s">
        <v>141</v>
      </c>
      <c r="B73" s="572"/>
      <c r="C73" s="95">
        <v>1551.2</v>
      </c>
      <c r="D73" s="95">
        <v>3.6</v>
      </c>
      <c r="E73" s="95">
        <v>41.8</v>
      </c>
      <c r="F73" s="95">
        <v>13.4</v>
      </c>
      <c r="G73" s="95">
        <v>65.099999999999994</v>
      </c>
    </row>
    <row r="74" spans="1:7" s="94" customFormat="1" ht="13">
      <c r="A74" s="570" t="s">
        <v>142</v>
      </c>
      <c r="B74" s="572"/>
      <c r="C74" s="95">
        <v>1557.8</v>
      </c>
      <c r="D74" s="95">
        <v>3.5</v>
      </c>
      <c r="E74" s="95">
        <v>42.6</v>
      </c>
      <c r="F74" s="95">
        <v>14.4</v>
      </c>
      <c r="G74" s="95">
        <v>66</v>
      </c>
    </row>
    <row r="75" spans="1:7" s="94" customFormat="1" ht="13">
      <c r="A75" s="570" t="s">
        <v>143</v>
      </c>
      <c r="B75" s="572"/>
      <c r="C75" s="95">
        <v>1552.7</v>
      </c>
      <c r="D75" s="95">
        <v>3.5</v>
      </c>
      <c r="E75" s="95">
        <v>42.8</v>
      </c>
      <c r="F75" s="95">
        <v>14.3</v>
      </c>
      <c r="G75" s="95">
        <v>67</v>
      </c>
    </row>
    <row r="76" spans="1:7" s="94" customFormat="1" ht="13">
      <c r="A76" s="570" t="s">
        <v>144</v>
      </c>
      <c r="B76" s="572"/>
      <c r="C76" s="95">
        <v>1574.1</v>
      </c>
      <c r="D76" s="95">
        <v>3.5</v>
      </c>
      <c r="E76" s="95">
        <v>43</v>
      </c>
      <c r="F76" s="95">
        <v>14.6</v>
      </c>
      <c r="G76" s="95">
        <v>67.2</v>
      </c>
    </row>
    <row r="77" spans="1:7" s="94" customFormat="1" ht="13">
      <c r="A77" s="570" t="s">
        <v>145</v>
      </c>
      <c r="B77" s="572"/>
      <c r="C77" s="95">
        <v>1586.5</v>
      </c>
      <c r="D77" s="95">
        <v>3.5</v>
      </c>
      <c r="E77" s="95">
        <v>42.9</v>
      </c>
      <c r="F77" s="95">
        <v>15.3</v>
      </c>
      <c r="G77" s="95">
        <v>65.5</v>
      </c>
    </row>
    <row r="78" spans="1:7" s="94" customFormat="1" ht="13">
      <c r="A78" s="570" t="s">
        <v>146</v>
      </c>
      <c r="B78" s="572"/>
      <c r="C78" s="95">
        <v>1602</v>
      </c>
      <c r="D78" s="95">
        <v>3.5</v>
      </c>
      <c r="E78" s="95">
        <v>43.8</v>
      </c>
      <c r="F78" s="95">
        <v>16.3</v>
      </c>
      <c r="G78" s="95">
        <v>67.8</v>
      </c>
    </row>
    <row r="79" spans="1:7" s="94" customFormat="1" ht="13">
      <c r="A79" s="570" t="s">
        <v>147</v>
      </c>
      <c r="B79" s="572"/>
      <c r="C79" s="95">
        <v>1600.2</v>
      </c>
      <c r="D79" s="95">
        <v>3.5</v>
      </c>
      <c r="E79" s="95">
        <v>42.9</v>
      </c>
      <c r="F79" s="95">
        <v>15.9</v>
      </c>
      <c r="G79" s="95">
        <v>66.400000000000006</v>
      </c>
    </row>
    <row r="80" spans="1:7" s="94" customFormat="1" ht="13">
      <c r="A80" s="570" t="s">
        <v>148</v>
      </c>
      <c r="B80" s="572"/>
      <c r="C80" s="95">
        <v>1619.1</v>
      </c>
      <c r="D80" s="95">
        <v>3.5</v>
      </c>
      <c r="E80" s="95">
        <v>42.8</v>
      </c>
      <c r="F80" s="95">
        <v>15.7</v>
      </c>
      <c r="G80" s="95">
        <v>66.5</v>
      </c>
    </row>
    <row r="81" spans="1:7" s="94" customFormat="1" ht="13">
      <c r="A81" s="570" t="s">
        <v>149</v>
      </c>
      <c r="B81" s="572"/>
      <c r="C81" s="95">
        <v>1622</v>
      </c>
      <c r="D81" s="95">
        <v>3.5</v>
      </c>
      <c r="E81" s="95">
        <v>44.2</v>
      </c>
      <c r="F81" s="95">
        <v>16.2</v>
      </c>
      <c r="G81" s="95">
        <v>68.8</v>
      </c>
    </row>
    <row r="82" spans="1:7" s="94" customFormat="1" ht="13">
      <c r="A82" s="570" t="s">
        <v>150</v>
      </c>
      <c r="B82" s="572"/>
      <c r="C82" s="95">
        <v>1628.8</v>
      </c>
      <c r="D82" s="95">
        <v>3.4</v>
      </c>
      <c r="E82" s="95">
        <v>42.8</v>
      </c>
      <c r="F82" s="95">
        <v>16</v>
      </c>
      <c r="G82" s="95">
        <v>67.5</v>
      </c>
    </row>
    <row r="83" spans="1:7" s="94" customFormat="1" ht="13">
      <c r="A83" s="570" t="s">
        <v>151</v>
      </c>
      <c r="B83" s="572"/>
      <c r="C83" s="95">
        <v>1626.3</v>
      </c>
      <c r="D83" s="95">
        <v>3.4</v>
      </c>
      <c r="E83" s="95">
        <v>43.5</v>
      </c>
      <c r="F83" s="95">
        <v>16.2</v>
      </c>
      <c r="G83" s="95">
        <v>68.099999999999994</v>
      </c>
    </row>
    <row r="84" spans="1:7" s="94" customFormat="1" ht="13">
      <c r="A84" s="570" t="s">
        <v>152</v>
      </c>
      <c r="B84" s="572"/>
      <c r="C84" s="95">
        <v>1656.8</v>
      </c>
      <c r="D84" s="95">
        <v>3.4</v>
      </c>
      <c r="E84" s="95">
        <v>43.3</v>
      </c>
      <c r="F84" s="95">
        <v>16.8</v>
      </c>
      <c r="G84" s="95">
        <v>67.5</v>
      </c>
    </row>
    <row r="85" spans="1:7" s="94" customFormat="1" ht="13">
      <c r="A85" s="570" t="s">
        <v>153</v>
      </c>
      <c r="B85" s="572"/>
      <c r="C85" s="95">
        <v>1661.9</v>
      </c>
      <c r="D85" s="95">
        <v>3.4</v>
      </c>
      <c r="E85" s="95">
        <v>43.9</v>
      </c>
      <c r="F85" s="95">
        <v>18.2</v>
      </c>
      <c r="G85" s="95">
        <v>66.900000000000006</v>
      </c>
    </row>
    <row r="86" spans="1:7" s="94" customFormat="1" ht="13">
      <c r="A86" s="570" t="s">
        <v>154</v>
      </c>
      <c r="B86" s="572"/>
      <c r="C86" s="95">
        <v>1664.9</v>
      </c>
      <c r="D86" s="95">
        <v>3.5</v>
      </c>
      <c r="E86" s="95">
        <v>44.2</v>
      </c>
      <c r="F86" s="95">
        <v>18.3</v>
      </c>
      <c r="G86" s="95">
        <v>67.7</v>
      </c>
    </row>
    <row r="87" spans="1:7" s="94" customFormat="1" ht="13">
      <c r="A87" s="570" t="s">
        <v>155</v>
      </c>
      <c r="B87" s="572"/>
      <c r="C87" s="95">
        <v>1672.5</v>
      </c>
      <c r="D87" s="95">
        <v>3.5</v>
      </c>
      <c r="E87" s="95">
        <v>44</v>
      </c>
      <c r="F87" s="95">
        <v>18.100000000000001</v>
      </c>
      <c r="G87" s="95">
        <v>67.599999999999994</v>
      </c>
    </row>
    <row r="88" spans="1:7" s="94" customFormat="1" ht="13">
      <c r="A88" s="570" t="s">
        <v>156</v>
      </c>
      <c r="B88" s="572"/>
      <c r="C88" s="95">
        <v>1673.9</v>
      </c>
      <c r="D88" s="95">
        <v>3.5</v>
      </c>
      <c r="E88" s="95">
        <v>44.3</v>
      </c>
      <c r="F88" s="95">
        <v>18</v>
      </c>
      <c r="G88" s="95">
        <v>68.5</v>
      </c>
    </row>
    <row r="89" spans="1:7" s="94" customFormat="1" ht="13">
      <c r="A89" s="570" t="s">
        <v>157</v>
      </c>
      <c r="B89" s="572"/>
      <c r="C89" s="95">
        <v>1672.3</v>
      </c>
      <c r="D89" s="95">
        <v>3.5</v>
      </c>
      <c r="E89" s="95">
        <v>44.6</v>
      </c>
      <c r="F89" s="95">
        <v>17.8</v>
      </c>
      <c r="G89" s="95">
        <v>69.5</v>
      </c>
    </row>
    <row r="90" spans="1:7" s="94" customFormat="1" ht="13">
      <c r="A90" s="570" t="s">
        <v>158</v>
      </c>
      <c r="B90" s="572"/>
      <c r="C90" s="95">
        <v>1671.5</v>
      </c>
      <c r="D90" s="95">
        <v>3.5</v>
      </c>
      <c r="E90" s="95">
        <v>45</v>
      </c>
      <c r="F90" s="95">
        <v>18</v>
      </c>
      <c r="G90" s="95">
        <v>70.2</v>
      </c>
    </row>
    <row r="91" spans="1:7" s="94" customFormat="1" ht="13">
      <c r="A91" s="570" t="s">
        <v>159</v>
      </c>
      <c r="B91" s="572"/>
      <c r="C91" s="95">
        <v>1673</v>
      </c>
      <c r="D91" s="95">
        <v>3.5</v>
      </c>
      <c r="E91" s="95">
        <v>45.1</v>
      </c>
      <c r="F91" s="95">
        <v>18.100000000000001</v>
      </c>
      <c r="G91" s="95">
        <v>70</v>
      </c>
    </row>
    <row r="92" spans="1:7" s="94" customFormat="1" ht="13">
      <c r="A92" s="570" t="s">
        <v>160</v>
      </c>
      <c r="B92" s="572"/>
      <c r="C92" s="95">
        <v>1682.1</v>
      </c>
      <c r="D92" s="95">
        <v>3.5</v>
      </c>
      <c r="E92" s="95">
        <v>45.2</v>
      </c>
      <c r="F92" s="95">
        <v>18.5</v>
      </c>
      <c r="G92" s="95">
        <v>69.7</v>
      </c>
    </row>
    <row r="93" spans="1:7" s="94" customFormat="1" ht="13">
      <c r="A93" s="570" t="s">
        <v>161</v>
      </c>
      <c r="B93" s="572"/>
      <c r="C93" s="95">
        <v>1691.8</v>
      </c>
      <c r="D93" s="95">
        <v>3.4</v>
      </c>
      <c r="E93" s="95">
        <v>45.3</v>
      </c>
      <c r="F93" s="95">
        <v>18.600000000000001</v>
      </c>
      <c r="G93" s="95">
        <v>69.599999999999994</v>
      </c>
    </row>
    <row r="94" spans="1:7" s="94" customFormat="1" ht="13">
      <c r="A94" s="570" t="s">
        <v>162</v>
      </c>
      <c r="B94" s="572"/>
      <c r="C94" s="95">
        <v>1701.9</v>
      </c>
      <c r="D94" s="95">
        <v>3.4</v>
      </c>
      <c r="E94" s="95">
        <v>45.2</v>
      </c>
      <c r="F94" s="95">
        <v>18.7</v>
      </c>
      <c r="G94" s="95">
        <v>69.099999999999994</v>
      </c>
    </row>
    <row r="95" spans="1:7" s="94" customFormat="1" ht="13">
      <c r="A95" s="570" t="s">
        <v>163</v>
      </c>
      <c r="B95" s="572"/>
      <c r="C95" s="95">
        <v>1709.3</v>
      </c>
      <c r="D95" s="95">
        <v>3.4</v>
      </c>
      <c r="E95" s="95">
        <v>45.1</v>
      </c>
      <c r="F95" s="95">
        <v>18.600000000000001</v>
      </c>
      <c r="G95" s="95">
        <v>68.900000000000006</v>
      </c>
    </row>
    <row r="96" spans="1:7" s="94" customFormat="1" ht="13">
      <c r="A96" s="570" t="s">
        <v>164</v>
      </c>
      <c r="B96" s="572"/>
      <c r="C96" s="95">
        <v>1712.6</v>
      </c>
      <c r="D96" s="95">
        <v>3.5</v>
      </c>
      <c r="E96" s="95">
        <v>45</v>
      </c>
      <c r="F96" s="95">
        <v>19.2</v>
      </c>
      <c r="G96" s="95">
        <v>68.099999999999994</v>
      </c>
    </row>
    <row r="97" spans="1:7" s="94" customFormat="1" ht="13">
      <c r="A97" s="570" t="s">
        <v>165</v>
      </c>
      <c r="B97" s="572"/>
      <c r="C97" s="95">
        <v>1712</v>
      </c>
      <c r="D97" s="95">
        <v>3.4</v>
      </c>
      <c r="E97" s="95">
        <v>45.1</v>
      </c>
      <c r="F97" s="95">
        <v>19.5</v>
      </c>
      <c r="G97" s="95">
        <v>68.099999999999994</v>
      </c>
    </row>
    <row r="98" spans="1:7" s="94" customFormat="1" ht="13">
      <c r="A98" s="570" t="s">
        <v>166</v>
      </c>
      <c r="B98" s="572"/>
      <c r="C98" s="95">
        <v>1711.6</v>
      </c>
      <c r="D98" s="95">
        <v>3.4</v>
      </c>
      <c r="E98" s="95">
        <v>45.2</v>
      </c>
      <c r="F98" s="95">
        <v>20</v>
      </c>
      <c r="G98" s="95">
        <v>68.099999999999994</v>
      </c>
    </row>
    <row r="99" spans="1:7" s="94" customFormat="1" ht="13">
      <c r="A99" s="570" t="s">
        <v>167</v>
      </c>
      <c r="B99" s="572"/>
      <c r="C99" s="95">
        <v>1714.6</v>
      </c>
      <c r="D99" s="95">
        <v>3.4</v>
      </c>
      <c r="E99" s="95">
        <v>44.7</v>
      </c>
      <c r="F99" s="95">
        <v>19.7</v>
      </c>
      <c r="G99" s="95">
        <v>67.2</v>
      </c>
    </row>
    <row r="100" spans="1:7" s="94" customFormat="1" ht="13">
      <c r="A100" s="570" t="s">
        <v>168</v>
      </c>
      <c r="B100" s="572"/>
      <c r="C100" s="95">
        <v>1721.6</v>
      </c>
      <c r="D100" s="95">
        <v>3.4</v>
      </c>
      <c r="E100" s="95">
        <v>44.3</v>
      </c>
      <c r="F100" s="95">
        <v>19.8</v>
      </c>
      <c r="G100" s="95">
        <v>66.400000000000006</v>
      </c>
    </row>
    <row r="101" spans="1:7" s="94" customFormat="1" ht="13">
      <c r="A101" s="570" t="s">
        <v>169</v>
      </c>
      <c r="B101" s="572"/>
      <c r="C101" s="95">
        <v>1725</v>
      </c>
      <c r="D101" s="95">
        <v>3.4</v>
      </c>
      <c r="E101" s="95">
        <v>44.5</v>
      </c>
      <c r="F101" s="95">
        <v>20.2</v>
      </c>
      <c r="G101" s="95">
        <v>66.7</v>
      </c>
    </row>
    <row r="102" spans="1:7" s="94" customFormat="1" ht="13">
      <c r="A102" s="570" t="s">
        <v>170</v>
      </c>
      <c r="B102" s="572"/>
      <c r="C102" s="95">
        <v>1725</v>
      </c>
      <c r="D102" s="95">
        <v>3.4</v>
      </c>
      <c r="E102" s="95">
        <v>45</v>
      </c>
      <c r="F102" s="95">
        <v>20.7</v>
      </c>
      <c r="G102" s="95">
        <v>67.900000000000006</v>
      </c>
    </row>
    <row r="103" spans="1:7" s="94" customFormat="1" ht="13">
      <c r="A103" s="570" t="s">
        <v>171</v>
      </c>
      <c r="B103" s="572"/>
      <c r="C103" s="95">
        <v>1726.8</v>
      </c>
      <c r="D103" s="95">
        <v>3.4</v>
      </c>
      <c r="E103" s="95">
        <v>45.6</v>
      </c>
      <c r="F103" s="95">
        <v>21.2</v>
      </c>
      <c r="G103" s="95">
        <v>68.7</v>
      </c>
    </row>
    <row r="104" spans="1:7" s="94" customFormat="1" ht="13">
      <c r="A104" s="570" t="s">
        <v>172</v>
      </c>
      <c r="B104" s="572"/>
      <c r="C104" s="95">
        <v>1734.1</v>
      </c>
      <c r="D104" s="95">
        <v>3.4</v>
      </c>
      <c r="E104" s="95">
        <v>45.4</v>
      </c>
      <c r="F104" s="95">
        <v>21.2</v>
      </c>
      <c r="G104" s="95">
        <v>68.599999999999994</v>
      </c>
    </row>
    <row r="105" spans="1:7" s="94" customFormat="1" ht="13">
      <c r="A105" s="570" t="s">
        <v>173</v>
      </c>
      <c r="B105" s="572"/>
      <c r="C105" s="95">
        <v>1746.2</v>
      </c>
      <c r="D105" s="95">
        <v>3.4</v>
      </c>
      <c r="E105" s="95">
        <v>45.3</v>
      </c>
      <c r="F105" s="95">
        <v>21.5</v>
      </c>
      <c r="G105" s="95">
        <v>67.900000000000006</v>
      </c>
    </row>
    <row r="106" spans="1:7" s="94" customFormat="1" ht="13">
      <c r="A106" s="570" t="s">
        <v>174</v>
      </c>
      <c r="B106" s="572"/>
      <c r="C106" s="95">
        <v>1756.2</v>
      </c>
      <c r="D106" s="95">
        <v>3.4</v>
      </c>
      <c r="E106" s="95">
        <v>45.1</v>
      </c>
      <c r="F106" s="95">
        <v>21.4</v>
      </c>
      <c r="G106" s="95">
        <v>68</v>
      </c>
    </row>
    <row r="107" spans="1:7" s="94" customFormat="1" ht="13">
      <c r="A107" s="570" t="s">
        <v>175</v>
      </c>
      <c r="B107" s="572"/>
      <c r="C107" s="95">
        <v>1755</v>
      </c>
      <c r="D107" s="95">
        <v>3.4</v>
      </c>
      <c r="E107" s="95">
        <v>45.4</v>
      </c>
      <c r="F107" s="95">
        <v>21.6</v>
      </c>
      <c r="G107" s="95">
        <v>68</v>
      </c>
    </row>
    <row r="108" spans="1:7" s="94" customFormat="1" ht="13">
      <c r="A108" s="570" t="s">
        <v>176</v>
      </c>
      <c r="B108" s="572"/>
      <c r="C108" s="95">
        <v>1749.8</v>
      </c>
      <c r="D108" s="95">
        <v>3.4</v>
      </c>
      <c r="E108" s="95">
        <v>45.6</v>
      </c>
      <c r="F108" s="95">
        <v>21.4</v>
      </c>
      <c r="G108" s="95">
        <v>68.3</v>
      </c>
    </row>
    <row r="109" spans="1:7" s="94" customFormat="1" ht="13">
      <c r="A109" s="570" t="s">
        <v>177</v>
      </c>
      <c r="B109" s="572"/>
      <c r="C109" s="95">
        <v>1755</v>
      </c>
      <c r="D109" s="95">
        <v>3.4</v>
      </c>
      <c r="E109" s="95">
        <v>45.7</v>
      </c>
      <c r="F109" s="95">
        <v>21.5</v>
      </c>
      <c r="G109" s="95">
        <v>68.400000000000006</v>
      </c>
    </row>
    <row r="110" spans="1:7" s="94" customFormat="1" ht="13">
      <c r="A110" s="570" t="s">
        <v>178</v>
      </c>
      <c r="B110" s="572"/>
      <c r="C110" s="95">
        <v>1769.6</v>
      </c>
      <c r="D110" s="95">
        <v>3.4</v>
      </c>
      <c r="E110" s="95">
        <v>45.5</v>
      </c>
      <c r="F110" s="95">
        <v>21.4</v>
      </c>
      <c r="G110" s="95">
        <v>67.8</v>
      </c>
    </row>
    <row r="111" spans="1:7" s="94" customFormat="1" ht="13">
      <c r="A111" s="570" t="s">
        <v>179</v>
      </c>
      <c r="B111" s="572"/>
      <c r="C111" s="95">
        <v>1783.7</v>
      </c>
      <c r="D111" s="95">
        <v>3.4</v>
      </c>
      <c r="E111" s="95">
        <v>45.4</v>
      </c>
      <c r="F111" s="95">
        <v>21.5</v>
      </c>
      <c r="G111" s="95">
        <v>67.2</v>
      </c>
    </row>
    <row r="112" spans="1:7" s="94" customFormat="1" ht="13">
      <c r="A112" s="570" t="s">
        <v>180</v>
      </c>
      <c r="B112" s="572"/>
      <c r="C112" s="95">
        <v>1786.5</v>
      </c>
      <c r="D112" s="95">
        <v>3.4</v>
      </c>
      <c r="E112" s="95">
        <v>44.8</v>
      </c>
      <c r="F112" s="95">
        <v>21.5</v>
      </c>
      <c r="G112" s="95">
        <v>66.3</v>
      </c>
    </row>
    <row r="113" spans="1:7" s="94" customFormat="1" ht="13">
      <c r="A113" s="570" t="s">
        <v>181</v>
      </c>
      <c r="B113" s="572"/>
      <c r="C113" s="95">
        <v>1784.2</v>
      </c>
      <c r="D113" s="95">
        <v>3.4</v>
      </c>
      <c r="E113" s="95">
        <v>44.6</v>
      </c>
      <c r="F113" s="95">
        <v>21.7</v>
      </c>
      <c r="G113" s="95">
        <v>66.099999999999994</v>
      </c>
    </row>
    <row r="114" spans="1:7" s="94" customFormat="1" ht="13">
      <c r="A114" s="570" t="s">
        <v>182</v>
      </c>
      <c r="B114" s="572"/>
      <c r="C114" s="95">
        <v>1782.3</v>
      </c>
      <c r="D114" s="95">
        <v>3.4</v>
      </c>
      <c r="E114" s="95">
        <v>45</v>
      </c>
      <c r="F114" s="95">
        <v>21.6</v>
      </c>
      <c r="G114" s="95">
        <v>67.099999999999994</v>
      </c>
    </row>
    <row r="115" spans="1:7" s="94" customFormat="1" ht="13">
      <c r="A115" s="570" t="s">
        <v>183</v>
      </c>
      <c r="B115" s="572"/>
      <c r="C115" s="95">
        <v>1783.5</v>
      </c>
      <c r="D115" s="95">
        <v>3.4</v>
      </c>
      <c r="E115" s="95">
        <v>45</v>
      </c>
      <c r="F115" s="95">
        <v>21.8</v>
      </c>
      <c r="G115" s="95">
        <v>67.2</v>
      </c>
    </row>
    <row r="116" spans="1:7" s="94" customFormat="1" ht="13">
      <c r="A116" s="570" t="s">
        <v>184</v>
      </c>
      <c r="B116" s="572"/>
      <c r="C116" s="95">
        <v>1790.1</v>
      </c>
      <c r="D116" s="95">
        <v>3.4</v>
      </c>
      <c r="E116" s="95">
        <v>45.4</v>
      </c>
      <c r="F116" s="95">
        <v>21.8</v>
      </c>
      <c r="G116" s="95">
        <v>68</v>
      </c>
    </row>
    <row r="117" spans="1:7" s="94" customFormat="1" ht="13">
      <c r="A117" s="570" t="s">
        <v>185</v>
      </c>
      <c r="B117" s="572"/>
      <c r="C117" s="95">
        <v>1798.1</v>
      </c>
      <c r="D117" s="95">
        <v>3.4</v>
      </c>
      <c r="E117" s="95">
        <v>45.2</v>
      </c>
      <c r="F117" s="95">
        <v>21.7</v>
      </c>
      <c r="G117" s="95">
        <v>67.5</v>
      </c>
    </row>
    <row r="118" spans="1:7" s="94" customFormat="1" ht="13">
      <c r="A118" s="570" t="s">
        <v>186</v>
      </c>
      <c r="B118" s="572"/>
      <c r="C118" s="95">
        <v>1807.1</v>
      </c>
      <c r="D118" s="95">
        <v>3.4</v>
      </c>
      <c r="E118" s="95">
        <v>45.3</v>
      </c>
      <c r="F118" s="95">
        <v>21.6</v>
      </c>
      <c r="G118" s="95">
        <v>67.400000000000006</v>
      </c>
    </row>
    <row r="119" spans="1:7" s="94" customFormat="1" ht="13">
      <c r="A119" s="570" t="s">
        <v>187</v>
      </c>
      <c r="B119" s="572"/>
      <c r="C119" s="95">
        <v>1816.3</v>
      </c>
      <c r="D119" s="95">
        <v>3.4</v>
      </c>
      <c r="E119" s="95">
        <v>45.2</v>
      </c>
      <c r="F119" s="95">
        <v>21.7</v>
      </c>
      <c r="G119" s="95">
        <v>67.099999999999994</v>
      </c>
    </row>
    <row r="120" spans="1:7" s="94" customFormat="1" ht="13">
      <c r="A120" s="570" t="s">
        <v>188</v>
      </c>
      <c r="B120" s="572"/>
      <c r="C120" s="95">
        <v>1820.7</v>
      </c>
      <c r="D120" s="95">
        <v>3.4</v>
      </c>
      <c r="E120" s="95">
        <v>45.1</v>
      </c>
      <c r="F120" s="95">
        <v>21.6</v>
      </c>
      <c r="G120" s="95">
        <v>67.099999999999994</v>
      </c>
    </row>
    <row r="121" spans="1:7" s="94" customFormat="1" ht="13">
      <c r="A121" s="570" t="s">
        <v>189</v>
      </c>
      <c r="B121" s="572"/>
      <c r="C121" s="95">
        <v>1819.5</v>
      </c>
      <c r="D121" s="95">
        <v>3.4</v>
      </c>
      <c r="E121" s="95">
        <v>45.1</v>
      </c>
      <c r="F121" s="95">
        <v>21.8</v>
      </c>
      <c r="G121" s="95">
        <v>66.7</v>
      </c>
    </row>
    <row r="122" spans="1:7" s="94" customFormat="1" ht="13">
      <c r="A122" s="570" t="s">
        <v>190</v>
      </c>
      <c r="B122" s="572"/>
      <c r="C122" s="95">
        <v>1822.1</v>
      </c>
      <c r="D122" s="95">
        <v>3.4</v>
      </c>
      <c r="E122" s="95">
        <v>44.8</v>
      </c>
      <c r="F122" s="95">
        <v>21.4</v>
      </c>
      <c r="G122" s="95">
        <v>66.5</v>
      </c>
    </row>
    <row r="123" spans="1:7" s="94" customFormat="1" ht="13">
      <c r="A123" s="570" t="s">
        <v>191</v>
      </c>
      <c r="B123" s="572"/>
      <c r="C123" s="95">
        <v>1830.6</v>
      </c>
      <c r="D123" s="95">
        <v>3.4</v>
      </c>
      <c r="E123" s="95">
        <v>44.2</v>
      </c>
      <c r="F123" s="95">
        <v>21.3</v>
      </c>
      <c r="G123" s="95">
        <v>65.7</v>
      </c>
    </row>
    <row r="124" spans="1:7" s="94" customFormat="1" ht="13">
      <c r="A124" s="570" t="s">
        <v>192</v>
      </c>
      <c r="B124" s="572"/>
      <c r="C124" s="95">
        <v>1876</v>
      </c>
      <c r="D124" s="95">
        <v>3.4</v>
      </c>
      <c r="E124" s="95">
        <v>45.4</v>
      </c>
      <c r="F124" s="95">
        <v>21</v>
      </c>
      <c r="G124" s="95">
        <v>66.8</v>
      </c>
    </row>
    <row r="125" spans="1:7" s="94" customFormat="1" ht="13">
      <c r="A125" s="570" t="s">
        <v>193</v>
      </c>
      <c r="B125" s="572"/>
      <c r="C125" s="95">
        <v>1875.6</v>
      </c>
      <c r="D125" s="95">
        <v>3.4</v>
      </c>
      <c r="E125" s="95">
        <v>45.2</v>
      </c>
      <c r="F125" s="95">
        <v>20.9</v>
      </c>
      <c r="G125" s="95">
        <v>66.900000000000006</v>
      </c>
    </row>
    <row r="126" spans="1:7" s="94" customFormat="1" ht="13">
      <c r="A126" s="570" t="s">
        <v>194</v>
      </c>
      <c r="B126" s="572"/>
      <c r="C126" s="95">
        <v>1875.1</v>
      </c>
      <c r="D126" s="95">
        <v>3.4</v>
      </c>
      <c r="E126" s="95">
        <v>45.9</v>
      </c>
      <c r="F126" s="95">
        <v>21.3</v>
      </c>
      <c r="G126" s="95">
        <v>67.8</v>
      </c>
    </row>
    <row r="127" spans="1:7" s="94" customFormat="1" ht="13">
      <c r="A127" s="570" t="s">
        <v>195</v>
      </c>
      <c r="B127" s="572"/>
      <c r="C127" s="95">
        <v>1876.1</v>
      </c>
      <c r="D127" s="95">
        <v>3.4</v>
      </c>
      <c r="E127" s="95">
        <v>45.9</v>
      </c>
      <c r="F127" s="95">
        <v>21.5</v>
      </c>
      <c r="G127" s="95">
        <v>67.2</v>
      </c>
    </row>
    <row r="128" spans="1:7" s="94" customFormat="1" ht="13">
      <c r="A128" s="570" t="s">
        <v>196</v>
      </c>
      <c r="B128" s="572"/>
      <c r="C128" s="95">
        <v>1878.9</v>
      </c>
      <c r="D128" s="95">
        <v>3.4</v>
      </c>
      <c r="E128" s="95">
        <v>46.4</v>
      </c>
      <c r="F128" s="95">
        <v>22.2</v>
      </c>
      <c r="G128" s="95">
        <v>67.599999999999994</v>
      </c>
    </row>
    <row r="129" spans="1:7" s="94" customFormat="1" ht="13">
      <c r="A129" s="570" t="s">
        <v>197</v>
      </c>
      <c r="B129" s="572"/>
      <c r="C129" s="95">
        <v>1881.7</v>
      </c>
      <c r="D129" s="95">
        <v>3.3</v>
      </c>
      <c r="E129" s="95">
        <v>46.9</v>
      </c>
      <c r="F129" s="95">
        <v>22.8</v>
      </c>
      <c r="G129" s="95">
        <v>67.7</v>
      </c>
    </row>
    <row r="130" spans="1:7" s="94" customFormat="1" ht="13">
      <c r="A130" s="570" t="s">
        <v>198</v>
      </c>
      <c r="B130" s="572"/>
      <c r="C130" s="95">
        <v>1886.5</v>
      </c>
      <c r="D130" s="95">
        <v>3.3</v>
      </c>
      <c r="E130" s="95">
        <v>47.1</v>
      </c>
      <c r="F130" s="95">
        <v>23.3</v>
      </c>
      <c r="G130" s="95">
        <v>67.599999999999994</v>
      </c>
    </row>
    <row r="131" spans="1:7" s="94" customFormat="1" ht="13">
      <c r="A131" s="570" t="s">
        <v>199</v>
      </c>
      <c r="B131" s="572"/>
      <c r="C131" s="95">
        <v>1892.6</v>
      </c>
      <c r="D131" s="95">
        <v>3.3</v>
      </c>
      <c r="E131" s="95">
        <v>47.4</v>
      </c>
      <c r="F131" s="95">
        <v>23.6</v>
      </c>
      <c r="G131" s="95">
        <v>67.5</v>
      </c>
    </row>
    <row r="132" spans="1:7" s="94" customFormat="1" ht="13">
      <c r="A132" s="570" t="s">
        <v>200</v>
      </c>
      <c r="B132" s="572"/>
      <c r="C132" s="95">
        <v>1900.1</v>
      </c>
      <c r="D132" s="95">
        <v>3.3</v>
      </c>
      <c r="E132" s="95">
        <v>47.2</v>
      </c>
      <c r="F132" s="95">
        <v>23.4</v>
      </c>
      <c r="G132" s="95">
        <v>67.099999999999994</v>
      </c>
    </row>
    <row r="133" spans="1:7" s="94" customFormat="1" ht="13">
      <c r="A133" s="570" t="s">
        <v>201</v>
      </c>
      <c r="B133" s="572"/>
      <c r="C133" s="95">
        <v>1908.4</v>
      </c>
      <c r="D133" s="95">
        <v>3.3</v>
      </c>
      <c r="E133" s="95">
        <v>46.8</v>
      </c>
      <c r="F133" s="95">
        <v>23</v>
      </c>
      <c r="G133" s="95">
        <v>66.599999999999994</v>
      </c>
    </row>
    <row r="134" spans="1:7" s="94" customFormat="1" ht="13">
      <c r="A134" s="570" t="s">
        <v>202</v>
      </c>
      <c r="B134" s="572"/>
      <c r="C134" s="95">
        <v>1915.6</v>
      </c>
      <c r="D134" s="95">
        <v>3.3</v>
      </c>
      <c r="E134" s="95">
        <v>45.9</v>
      </c>
      <c r="F134" s="95">
        <v>22.3</v>
      </c>
      <c r="G134" s="95">
        <v>65.400000000000006</v>
      </c>
    </row>
    <row r="135" spans="1:7" s="94" customFormat="1" ht="13">
      <c r="A135" s="570" t="s">
        <v>203</v>
      </c>
      <c r="B135" s="572"/>
      <c r="C135" s="95">
        <v>1920.5</v>
      </c>
      <c r="D135" s="95">
        <v>3.3</v>
      </c>
      <c r="E135" s="95">
        <v>45</v>
      </c>
      <c r="F135" s="95">
        <v>21.7</v>
      </c>
      <c r="G135" s="95">
        <v>64.5</v>
      </c>
    </row>
    <row r="136" spans="1:7" s="94" customFormat="1" ht="13">
      <c r="A136" s="570" t="s">
        <v>204</v>
      </c>
      <c r="B136" s="572"/>
      <c r="C136" s="95">
        <v>1923.2</v>
      </c>
      <c r="D136" s="95">
        <v>3.3</v>
      </c>
      <c r="E136" s="95">
        <v>45.2</v>
      </c>
      <c r="F136" s="95">
        <v>21.3</v>
      </c>
      <c r="G136" s="95">
        <v>65.2</v>
      </c>
    </row>
    <row r="137" spans="1:7" s="94" customFormat="1" ht="13">
      <c r="A137" s="570" t="s">
        <v>205</v>
      </c>
      <c r="B137" s="572"/>
      <c r="C137" s="95">
        <v>1923.9</v>
      </c>
      <c r="D137" s="95">
        <v>3.3</v>
      </c>
      <c r="E137" s="95">
        <v>45.4</v>
      </c>
      <c r="F137" s="95">
        <v>21.4</v>
      </c>
      <c r="G137" s="95">
        <v>65.7</v>
      </c>
    </row>
    <row r="138" spans="1:7" s="94" customFormat="1" ht="13">
      <c r="A138" s="570" t="s">
        <v>206</v>
      </c>
      <c r="B138" s="572"/>
      <c r="C138" s="95">
        <v>1923.5</v>
      </c>
      <c r="D138" s="95">
        <v>3.3</v>
      </c>
      <c r="E138" s="95">
        <v>46.4</v>
      </c>
      <c r="F138" s="95">
        <v>22.4</v>
      </c>
      <c r="G138" s="95">
        <v>66.8</v>
      </c>
    </row>
    <row r="139" spans="1:7" s="94" customFormat="1" ht="13">
      <c r="A139" s="570" t="s">
        <v>207</v>
      </c>
      <c r="B139" s="572"/>
      <c r="C139" s="95">
        <v>1924.1</v>
      </c>
      <c r="D139" s="95">
        <v>3.3</v>
      </c>
      <c r="E139" s="95">
        <v>46.9</v>
      </c>
      <c r="F139" s="95">
        <v>23.3</v>
      </c>
      <c r="G139" s="95">
        <v>67</v>
      </c>
    </row>
    <row r="140" spans="1:7" s="94" customFormat="1" ht="13">
      <c r="A140" s="570" t="s">
        <v>208</v>
      </c>
      <c r="B140" s="572"/>
      <c r="C140" s="95">
        <v>1927.8</v>
      </c>
      <c r="D140" s="95">
        <v>3.3</v>
      </c>
      <c r="E140" s="95">
        <v>47.3</v>
      </c>
      <c r="F140" s="95">
        <v>23.9</v>
      </c>
      <c r="G140" s="95">
        <v>67.099999999999994</v>
      </c>
    </row>
    <row r="141" spans="1:7" s="94" customFormat="1" ht="13">
      <c r="A141" s="570" t="s">
        <v>209</v>
      </c>
      <c r="B141" s="572"/>
      <c r="C141" s="95">
        <v>1931.8</v>
      </c>
      <c r="D141" s="95">
        <v>3.3</v>
      </c>
      <c r="E141" s="95">
        <v>48</v>
      </c>
      <c r="F141" s="95">
        <v>24.3</v>
      </c>
      <c r="G141" s="95">
        <v>67.599999999999994</v>
      </c>
    </row>
    <row r="142" spans="1:7" s="94" customFormat="1" ht="13">
      <c r="A142" s="570" t="s">
        <v>210</v>
      </c>
      <c r="B142" s="572"/>
      <c r="C142" s="95">
        <v>1935.5</v>
      </c>
      <c r="D142" s="95">
        <v>3.3</v>
      </c>
      <c r="E142" s="95">
        <v>47.9</v>
      </c>
      <c r="F142" s="95">
        <v>24.3</v>
      </c>
      <c r="G142" s="95">
        <v>67.2</v>
      </c>
    </row>
    <row r="143" spans="1:7" s="94" customFormat="1" ht="13">
      <c r="A143" s="570" t="s">
        <v>211</v>
      </c>
      <c r="B143" s="572"/>
      <c r="C143" s="95">
        <v>1938.5</v>
      </c>
      <c r="D143" s="95">
        <v>3.3</v>
      </c>
      <c r="E143" s="95">
        <v>47.6</v>
      </c>
      <c r="F143" s="95">
        <v>24.1</v>
      </c>
      <c r="G143" s="95">
        <v>67</v>
      </c>
    </row>
    <row r="144" spans="1:7" s="94" customFormat="1" ht="13">
      <c r="A144" s="570" t="s">
        <v>212</v>
      </c>
      <c r="B144" s="572"/>
      <c r="C144" s="95">
        <v>1941.5</v>
      </c>
      <c r="D144" s="95">
        <v>3.3</v>
      </c>
      <c r="E144" s="95">
        <v>46.8</v>
      </c>
      <c r="F144" s="95">
        <v>23.4</v>
      </c>
      <c r="G144" s="95">
        <v>66.599999999999994</v>
      </c>
    </row>
    <row r="145" spans="1:7" s="94" customFormat="1" ht="13">
      <c r="A145" s="570" t="s">
        <v>213</v>
      </c>
      <c r="B145" s="572"/>
      <c r="C145" s="95">
        <v>1945.6</v>
      </c>
      <c r="D145" s="95">
        <v>3.3</v>
      </c>
      <c r="E145" s="95">
        <v>46.2</v>
      </c>
      <c r="F145" s="95">
        <v>23.2</v>
      </c>
      <c r="G145" s="95">
        <v>66.3</v>
      </c>
    </row>
    <row r="146" spans="1:7" s="94" customFormat="1" ht="13">
      <c r="A146" s="570" t="s">
        <v>214</v>
      </c>
      <c r="B146" s="572"/>
      <c r="C146" s="95">
        <v>1950.1</v>
      </c>
      <c r="D146" s="95">
        <v>3.3</v>
      </c>
      <c r="E146" s="95">
        <v>45.8</v>
      </c>
      <c r="F146" s="95">
        <v>23</v>
      </c>
      <c r="G146" s="95">
        <v>65.8</v>
      </c>
    </row>
    <row r="147" spans="1:7" s="94" customFormat="1" ht="13">
      <c r="A147" s="570" t="s">
        <v>215</v>
      </c>
      <c r="B147" s="572"/>
      <c r="C147" s="95">
        <v>1954.5</v>
      </c>
      <c r="D147" s="95">
        <v>3.3</v>
      </c>
      <c r="E147" s="95">
        <v>45.2</v>
      </c>
      <c r="F147" s="95">
        <v>23.3</v>
      </c>
      <c r="G147" s="95">
        <v>64.599999999999994</v>
      </c>
    </row>
    <row r="148" spans="1:7" s="94" customFormat="1" ht="13">
      <c r="A148" s="570" t="s">
        <v>216</v>
      </c>
      <c r="B148" s="572"/>
      <c r="C148" s="95">
        <v>1957.4</v>
      </c>
      <c r="D148" s="95">
        <v>3.3</v>
      </c>
      <c r="E148" s="95">
        <v>45.6</v>
      </c>
      <c r="F148" s="95">
        <v>24.2</v>
      </c>
      <c r="G148" s="95">
        <v>64.7</v>
      </c>
    </row>
    <row r="149" spans="1:7" s="94" customFormat="1" ht="13">
      <c r="A149" s="570" t="s">
        <v>217</v>
      </c>
      <c r="B149" s="572"/>
      <c r="C149" s="95">
        <v>1959.1</v>
      </c>
      <c r="D149" s="95">
        <v>3.3</v>
      </c>
      <c r="E149" s="95">
        <v>46.2</v>
      </c>
      <c r="F149" s="95">
        <v>25.1</v>
      </c>
      <c r="G149" s="95">
        <v>65.400000000000006</v>
      </c>
    </row>
    <row r="150" spans="1:7" s="94" customFormat="1" ht="13">
      <c r="A150" s="570" t="s">
        <v>218</v>
      </c>
      <c r="B150" s="572"/>
      <c r="C150" s="95">
        <v>1962.9</v>
      </c>
      <c r="D150" s="95">
        <v>3.3</v>
      </c>
      <c r="E150" s="95">
        <v>46.8</v>
      </c>
      <c r="F150" s="95">
        <v>25.7</v>
      </c>
      <c r="G150" s="95">
        <v>66.3</v>
      </c>
    </row>
    <row r="151" spans="1:7" s="94" customFormat="1" ht="13">
      <c r="A151" s="570" t="s">
        <v>219</v>
      </c>
      <c r="B151" s="572"/>
      <c r="C151" s="95">
        <v>1968.3</v>
      </c>
      <c r="D151" s="95">
        <v>3.3</v>
      </c>
      <c r="E151" s="95">
        <v>47.2</v>
      </c>
      <c r="F151" s="95">
        <v>26.2</v>
      </c>
      <c r="G151" s="95">
        <v>66.5</v>
      </c>
    </row>
    <row r="152" spans="1:7" s="94" customFormat="1" ht="13">
      <c r="A152" s="570" t="s">
        <v>220</v>
      </c>
      <c r="B152" s="572"/>
      <c r="C152" s="95">
        <v>1973</v>
      </c>
      <c r="D152" s="95">
        <v>3.3</v>
      </c>
      <c r="E152" s="95">
        <v>47.6</v>
      </c>
      <c r="F152" s="95">
        <v>26.5</v>
      </c>
      <c r="G152" s="95">
        <v>66.599999999999994</v>
      </c>
    </row>
    <row r="153" spans="1:7" s="94" customFormat="1" ht="13">
      <c r="A153" s="570" t="s">
        <v>221</v>
      </c>
      <c r="B153" s="572"/>
      <c r="C153" s="95">
        <v>1974.9</v>
      </c>
      <c r="D153" s="95">
        <v>3.3</v>
      </c>
      <c r="E153" s="95">
        <v>47.5</v>
      </c>
      <c r="F153" s="95">
        <v>26.5</v>
      </c>
      <c r="G153" s="95">
        <v>66.3</v>
      </c>
    </row>
    <row r="154" spans="1:7" s="94" customFormat="1" ht="13">
      <c r="A154" s="570" t="s">
        <v>222</v>
      </c>
      <c r="B154" s="572"/>
      <c r="C154" s="95">
        <v>1974.8</v>
      </c>
      <c r="D154" s="95">
        <v>3.3</v>
      </c>
      <c r="E154" s="95">
        <v>47.4</v>
      </c>
      <c r="F154" s="95">
        <v>26.3</v>
      </c>
      <c r="G154" s="95">
        <v>66.400000000000006</v>
      </c>
    </row>
    <row r="155" spans="1:7" s="94" customFormat="1" ht="13">
      <c r="A155" s="570" t="s">
        <v>223</v>
      </c>
      <c r="B155" s="572"/>
      <c r="C155" s="95">
        <v>1974</v>
      </c>
      <c r="D155" s="95">
        <v>3.3</v>
      </c>
      <c r="E155" s="95">
        <v>47.1</v>
      </c>
      <c r="F155" s="95">
        <v>26</v>
      </c>
      <c r="G155" s="95">
        <v>66.3</v>
      </c>
    </row>
    <row r="156" spans="1:7" s="94" customFormat="1" ht="13">
      <c r="A156" s="570" t="s">
        <v>224</v>
      </c>
      <c r="B156" s="572"/>
      <c r="C156" s="95">
        <v>1972.9</v>
      </c>
      <c r="D156" s="95">
        <v>3.3</v>
      </c>
      <c r="E156" s="95">
        <v>47.5</v>
      </c>
      <c r="F156" s="95">
        <v>26.2</v>
      </c>
      <c r="G156" s="95">
        <v>66.8</v>
      </c>
    </row>
    <row r="157" spans="1:7" s="94" customFormat="1" ht="13">
      <c r="A157" s="570" t="s">
        <v>225</v>
      </c>
      <c r="B157" s="572"/>
      <c r="C157" s="95">
        <v>1976.9</v>
      </c>
      <c r="D157" s="95">
        <v>3.3</v>
      </c>
      <c r="E157" s="95">
        <v>47.4</v>
      </c>
      <c r="F157" s="95">
        <v>26.6</v>
      </c>
      <c r="G157" s="95">
        <v>66.2</v>
      </c>
    </row>
    <row r="158" spans="1:7" s="94" customFormat="1" ht="13">
      <c r="A158" s="570" t="s">
        <v>226</v>
      </c>
      <c r="B158" s="572"/>
      <c r="C158" s="95">
        <v>1983.3</v>
      </c>
      <c r="D158" s="95">
        <v>3.3</v>
      </c>
      <c r="E158" s="95">
        <v>48</v>
      </c>
      <c r="F158" s="95">
        <v>27.5</v>
      </c>
      <c r="G158" s="95">
        <v>66.599999999999994</v>
      </c>
    </row>
    <row r="159" spans="1:7" s="94" customFormat="1" ht="13">
      <c r="A159" s="570" t="s">
        <v>227</v>
      </c>
      <c r="B159" s="572"/>
      <c r="C159" s="95">
        <v>1993.5</v>
      </c>
      <c r="D159" s="95">
        <v>3.2</v>
      </c>
      <c r="E159" s="95">
        <v>48.2</v>
      </c>
      <c r="F159" s="95">
        <v>27.9</v>
      </c>
      <c r="G159" s="95">
        <v>66.599999999999994</v>
      </c>
    </row>
    <row r="160" spans="1:7" s="94" customFormat="1" ht="13">
      <c r="A160" s="570" t="s">
        <v>228</v>
      </c>
      <c r="B160" s="572"/>
      <c r="C160" s="95">
        <v>2001.6</v>
      </c>
      <c r="D160" s="95">
        <v>3.2</v>
      </c>
      <c r="E160" s="95">
        <v>48.3</v>
      </c>
      <c r="F160" s="95">
        <v>28.1</v>
      </c>
      <c r="G160" s="95">
        <v>66.7</v>
      </c>
    </row>
    <row r="161" spans="1:7" s="94" customFormat="1" ht="13">
      <c r="A161" s="570" t="s">
        <v>229</v>
      </c>
      <c r="B161" s="572"/>
      <c r="C161" s="95">
        <v>2005.7</v>
      </c>
      <c r="D161" s="95">
        <v>3.3</v>
      </c>
      <c r="E161" s="95">
        <v>48.5</v>
      </c>
      <c r="F161" s="95">
        <v>28.3</v>
      </c>
      <c r="G161" s="95">
        <v>66.900000000000006</v>
      </c>
    </row>
    <row r="162" spans="1:7" s="94" customFormat="1" ht="13">
      <c r="A162" s="570" t="s">
        <v>230</v>
      </c>
      <c r="B162" s="572"/>
      <c r="C162" s="95">
        <v>2007.7</v>
      </c>
      <c r="D162" s="95">
        <v>3.3</v>
      </c>
      <c r="E162" s="95">
        <v>48.8</v>
      </c>
      <c r="F162" s="95">
        <v>28.4</v>
      </c>
      <c r="G162" s="95">
        <v>67.400000000000006</v>
      </c>
    </row>
    <row r="163" spans="1:7" s="94" customFormat="1" ht="13">
      <c r="A163" s="570" t="s">
        <v>231</v>
      </c>
      <c r="B163" s="572"/>
      <c r="C163" s="95">
        <v>2007.7</v>
      </c>
      <c r="D163" s="95">
        <v>3.3</v>
      </c>
      <c r="E163" s="95">
        <v>48.8</v>
      </c>
      <c r="F163" s="95">
        <v>28.3</v>
      </c>
      <c r="G163" s="95">
        <v>67.5</v>
      </c>
    </row>
    <row r="164" spans="1:7" s="94" customFormat="1" ht="13">
      <c r="A164" s="570" t="s">
        <v>232</v>
      </c>
      <c r="B164" s="572"/>
      <c r="C164" s="95">
        <v>2009.7</v>
      </c>
      <c r="D164" s="95">
        <v>3.3</v>
      </c>
      <c r="E164" s="95">
        <v>48.3</v>
      </c>
      <c r="F164" s="95">
        <v>27.9</v>
      </c>
      <c r="G164" s="95">
        <v>67.099999999999994</v>
      </c>
    </row>
    <row r="165" spans="1:7" s="94" customFormat="1" ht="13">
      <c r="A165" s="570" t="s">
        <v>233</v>
      </c>
      <c r="B165" s="572"/>
      <c r="C165" s="95">
        <v>2009.9</v>
      </c>
      <c r="D165" s="95">
        <v>3.3</v>
      </c>
      <c r="E165" s="95">
        <v>48</v>
      </c>
      <c r="F165" s="95">
        <v>27.9</v>
      </c>
      <c r="G165" s="95">
        <v>66.599999999999994</v>
      </c>
    </row>
    <row r="166" spans="1:7" s="94" customFormat="1" ht="13">
      <c r="A166" s="570" t="s">
        <v>234</v>
      </c>
      <c r="B166" s="572"/>
      <c r="C166" s="95">
        <v>2009.7</v>
      </c>
      <c r="D166" s="95">
        <v>3.3</v>
      </c>
      <c r="E166" s="95">
        <v>48.2</v>
      </c>
      <c r="F166" s="95">
        <v>28.1</v>
      </c>
      <c r="G166" s="95">
        <v>67</v>
      </c>
    </row>
    <row r="167" spans="1:7" s="94" customFormat="1" ht="13">
      <c r="A167" s="570" t="s">
        <v>235</v>
      </c>
      <c r="B167" s="572"/>
      <c r="C167" s="95">
        <v>2010</v>
      </c>
      <c r="D167" s="95">
        <v>3.3</v>
      </c>
      <c r="E167" s="95">
        <v>48.7</v>
      </c>
      <c r="F167" s="95">
        <v>28.4</v>
      </c>
      <c r="G167" s="95">
        <v>67.599999999999994</v>
      </c>
    </row>
    <row r="168" spans="1:7" s="94" customFormat="1" ht="13">
      <c r="A168" s="570" t="s">
        <v>236</v>
      </c>
      <c r="B168" s="572"/>
      <c r="C168" s="95">
        <v>2011.7</v>
      </c>
      <c r="D168" s="95">
        <v>3.3</v>
      </c>
      <c r="E168" s="95">
        <v>49</v>
      </c>
      <c r="F168" s="95">
        <v>28.9</v>
      </c>
      <c r="G168" s="95">
        <v>67.5</v>
      </c>
    </row>
    <row r="169" spans="1:7" s="94" customFormat="1" ht="13">
      <c r="A169" s="570" t="s">
        <v>237</v>
      </c>
      <c r="B169" s="572"/>
      <c r="C169" s="95">
        <v>2014.4</v>
      </c>
      <c r="D169" s="95">
        <v>3.3</v>
      </c>
      <c r="E169" s="95">
        <v>49</v>
      </c>
      <c r="F169" s="95">
        <v>29.2</v>
      </c>
      <c r="G169" s="95">
        <v>67.2</v>
      </c>
    </row>
    <row r="170" spans="1:7" s="94" customFormat="1" ht="13">
      <c r="A170" s="570" t="s">
        <v>238</v>
      </c>
      <c r="B170" s="572"/>
      <c r="C170" s="95">
        <v>2018.5</v>
      </c>
      <c r="D170" s="95">
        <v>3.3</v>
      </c>
      <c r="E170" s="95">
        <v>49.7</v>
      </c>
      <c r="F170" s="95">
        <v>29.9</v>
      </c>
      <c r="G170" s="95">
        <v>67.8</v>
      </c>
    </row>
    <row r="171" spans="1:7" s="94" customFormat="1" ht="13">
      <c r="A171" s="570" t="s">
        <v>239</v>
      </c>
      <c r="B171" s="572"/>
      <c r="C171" s="95">
        <v>2022.8</v>
      </c>
      <c r="D171" s="95">
        <v>3.3</v>
      </c>
      <c r="E171" s="95">
        <v>50.2</v>
      </c>
      <c r="F171" s="95">
        <v>30.4</v>
      </c>
      <c r="G171" s="95">
        <v>68.2</v>
      </c>
    </row>
    <row r="172" spans="1:7" s="94" customFormat="1" ht="13">
      <c r="A172" s="570" t="s">
        <v>240</v>
      </c>
      <c r="B172" s="572"/>
      <c r="C172" s="95">
        <v>2026.9</v>
      </c>
      <c r="D172" s="95">
        <v>3.3</v>
      </c>
      <c r="E172" s="95">
        <v>50.8</v>
      </c>
      <c r="F172" s="95">
        <v>31</v>
      </c>
      <c r="G172" s="95">
        <v>68.900000000000006</v>
      </c>
    </row>
    <row r="173" spans="1:7" s="94" customFormat="1" ht="13">
      <c r="A173" s="570" t="s">
        <v>241</v>
      </c>
      <c r="B173" s="572"/>
      <c r="C173" s="95">
        <v>2031.5</v>
      </c>
      <c r="D173" s="95">
        <v>3.3</v>
      </c>
      <c r="E173" s="95">
        <v>51</v>
      </c>
      <c r="F173" s="95">
        <v>31.3</v>
      </c>
      <c r="G173" s="95">
        <v>69</v>
      </c>
    </row>
    <row r="174" spans="1:7" s="94" customFormat="1" ht="13">
      <c r="A174" s="570" t="s">
        <v>242</v>
      </c>
      <c r="B174" s="572"/>
      <c r="C174" s="95">
        <v>2037.3</v>
      </c>
      <c r="D174" s="95">
        <v>3.3</v>
      </c>
      <c r="E174" s="95">
        <v>51.8</v>
      </c>
      <c r="F174" s="95">
        <v>32.200000000000003</v>
      </c>
      <c r="G174" s="95">
        <v>69.8</v>
      </c>
    </row>
    <row r="175" spans="1:7" s="94" customFormat="1" ht="13">
      <c r="A175" s="570" t="s">
        <v>243</v>
      </c>
      <c r="B175" s="572"/>
      <c r="C175" s="95">
        <v>2044.8</v>
      </c>
      <c r="D175" s="95">
        <v>3.2</v>
      </c>
      <c r="E175" s="95">
        <v>52.3</v>
      </c>
      <c r="F175" s="95">
        <v>32.700000000000003</v>
      </c>
      <c r="G175" s="95">
        <v>70.2</v>
      </c>
    </row>
    <row r="176" spans="1:7" s="94" customFormat="1" ht="13">
      <c r="A176" s="570" t="s">
        <v>244</v>
      </c>
      <c r="B176" s="572"/>
      <c r="C176" s="95">
        <v>2051.3000000000002</v>
      </c>
      <c r="D176" s="95">
        <v>3.3</v>
      </c>
      <c r="E176" s="95">
        <v>52.1</v>
      </c>
      <c r="F176" s="95">
        <v>32.700000000000003</v>
      </c>
      <c r="G176" s="95">
        <v>69.5</v>
      </c>
    </row>
    <row r="177" spans="1:7" s="94" customFormat="1" ht="13">
      <c r="A177" s="570" t="s">
        <v>245</v>
      </c>
      <c r="B177" s="572"/>
      <c r="C177" s="95">
        <v>2057.1999999999998</v>
      </c>
      <c r="D177" s="95">
        <v>3.2</v>
      </c>
      <c r="E177" s="95">
        <v>52.1</v>
      </c>
      <c r="F177" s="95">
        <v>32.6</v>
      </c>
      <c r="G177" s="95">
        <v>69.400000000000006</v>
      </c>
    </row>
    <row r="178" spans="1:7" s="94" customFormat="1" ht="13">
      <c r="A178" s="570" t="s">
        <v>246</v>
      </c>
      <c r="B178" s="572"/>
      <c r="C178" s="95">
        <v>2062.1</v>
      </c>
      <c r="D178" s="95">
        <v>3.2</v>
      </c>
      <c r="E178" s="95">
        <v>52.3</v>
      </c>
      <c r="F178" s="95">
        <v>33.200000000000003</v>
      </c>
      <c r="G178" s="95">
        <v>69.400000000000006</v>
      </c>
    </row>
    <row r="179" spans="1:7" s="94" customFormat="1" ht="13">
      <c r="A179" s="570" t="s">
        <v>247</v>
      </c>
      <c r="B179" s="572"/>
      <c r="C179" s="95">
        <v>2061.9</v>
      </c>
      <c r="D179" s="95">
        <v>3.3</v>
      </c>
      <c r="E179" s="95">
        <v>52</v>
      </c>
      <c r="F179" s="95">
        <v>33.299999999999997</v>
      </c>
      <c r="G179" s="95">
        <v>69</v>
      </c>
    </row>
    <row r="180" spans="1:7" s="94" customFormat="1" ht="13">
      <c r="A180" s="570" t="s">
        <v>248</v>
      </c>
      <c r="B180" s="572"/>
      <c r="C180" s="95">
        <v>2059.4</v>
      </c>
      <c r="D180" s="95">
        <v>3.3</v>
      </c>
      <c r="E180" s="95">
        <v>52</v>
      </c>
      <c r="F180" s="95">
        <v>33.6</v>
      </c>
      <c r="G180" s="95">
        <v>68.8</v>
      </c>
    </row>
    <row r="181" spans="1:7" s="94" customFormat="1" ht="13">
      <c r="A181" s="570" t="s">
        <v>249</v>
      </c>
      <c r="B181" s="572"/>
      <c r="C181" s="95">
        <v>2049.1999999999998</v>
      </c>
      <c r="D181" s="95">
        <v>3.2</v>
      </c>
      <c r="E181" s="95">
        <v>51.3</v>
      </c>
      <c r="F181" s="95">
        <v>34</v>
      </c>
      <c r="G181" s="95">
        <v>66.7</v>
      </c>
    </row>
    <row r="182" spans="1:7" s="94" customFormat="1" ht="13">
      <c r="A182" s="570" t="s">
        <v>250</v>
      </c>
      <c r="B182" s="572"/>
      <c r="C182" s="95">
        <v>2050</v>
      </c>
      <c r="D182" s="95">
        <v>3.2</v>
      </c>
      <c r="E182" s="95">
        <v>51.8</v>
      </c>
      <c r="F182" s="95">
        <v>34.6</v>
      </c>
      <c r="G182" s="95">
        <v>67</v>
      </c>
    </row>
    <row r="183" spans="1:7" s="94" customFormat="1" ht="13">
      <c r="A183" s="570" t="s">
        <v>251</v>
      </c>
      <c r="B183" s="572"/>
      <c r="C183" s="95">
        <v>2052.1999999999998</v>
      </c>
      <c r="D183" s="95">
        <v>3.2</v>
      </c>
      <c r="E183" s="95">
        <v>51.7</v>
      </c>
      <c r="F183" s="95">
        <v>35.1</v>
      </c>
      <c r="G183" s="95">
        <v>66.400000000000006</v>
      </c>
    </row>
    <row r="184" spans="1:7" s="94" customFormat="1" ht="13">
      <c r="A184" s="570" t="s">
        <v>252</v>
      </c>
      <c r="B184" s="572"/>
      <c r="C184" s="95">
        <v>2055.9</v>
      </c>
      <c r="D184" s="95">
        <v>3.2</v>
      </c>
      <c r="E184" s="95">
        <v>52</v>
      </c>
      <c r="F184" s="95">
        <v>35.5</v>
      </c>
      <c r="G184" s="95">
        <v>66.7</v>
      </c>
    </row>
    <row r="185" spans="1:7" s="94" customFormat="1" ht="13">
      <c r="A185" s="570" t="s">
        <v>253</v>
      </c>
      <c r="B185" s="572"/>
      <c r="C185" s="95">
        <v>2061</v>
      </c>
      <c r="D185" s="95">
        <v>3.2</v>
      </c>
      <c r="E185" s="95">
        <v>52.4</v>
      </c>
      <c r="F185" s="95">
        <v>36.200000000000003</v>
      </c>
      <c r="G185" s="95">
        <v>66.7</v>
      </c>
    </row>
    <row r="186" spans="1:7" s="94" customFormat="1" ht="13">
      <c r="A186" s="570" t="s">
        <v>254</v>
      </c>
      <c r="B186" s="572"/>
      <c r="C186" s="95">
        <v>2067.1</v>
      </c>
      <c r="D186" s="95">
        <v>3.2</v>
      </c>
      <c r="E186" s="95">
        <v>52.4</v>
      </c>
      <c r="F186" s="95">
        <v>36</v>
      </c>
      <c r="G186" s="95">
        <v>67</v>
      </c>
    </row>
    <row r="187" spans="1:7" s="94" customFormat="1" ht="13">
      <c r="A187" s="570" t="s">
        <v>255</v>
      </c>
      <c r="B187" s="572"/>
      <c r="C187" s="95">
        <v>2072.4</v>
      </c>
      <c r="D187" s="95">
        <v>3.2</v>
      </c>
      <c r="E187" s="95">
        <v>52.5</v>
      </c>
      <c r="F187" s="95">
        <v>36.700000000000003</v>
      </c>
      <c r="G187" s="95">
        <v>66.900000000000006</v>
      </c>
    </row>
    <row r="188" spans="1:7" s="94" customFormat="1" ht="13">
      <c r="A188" s="570" t="s">
        <v>256</v>
      </c>
      <c r="B188" s="572"/>
      <c r="C188" s="95">
        <v>2077.1</v>
      </c>
      <c r="D188" s="95">
        <v>3.2</v>
      </c>
      <c r="E188" s="95">
        <v>52.7</v>
      </c>
      <c r="F188" s="95">
        <v>36.700000000000003</v>
      </c>
      <c r="G188" s="95">
        <v>67.099999999999994</v>
      </c>
    </row>
    <row r="189" spans="1:7" s="94" customFormat="1" ht="13">
      <c r="A189" s="570" t="s">
        <v>257</v>
      </c>
      <c r="B189" s="572"/>
      <c r="C189" s="95">
        <v>2076.4</v>
      </c>
      <c r="D189" s="95">
        <v>3.2</v>
      </c>
      <c r="E189" s="95">
        <v>52.6</v>
      </c>
      <c r="F189" s="95">
        <v>36.700000000000003</v>
      </c>
      <c r="G189" s="95">
        <v>67.099999999999994</v>
      </c>
    </row>
    <row r="190" spans="1:7" s="94" customFormat="1" ht="13">
      <c r="A190" s="570" t="s">
        <v>258</v>
      </c>
      <c r="B190" s="572"/>
      <c r="C190" s="95">
        <v>2078.6</v>
      </c>
      <c r="D190" s="95">
        <v>3.2</v>
      </c>
      <c r="E190" s="95">
        <v>52.5</v>
      </c>
      <c r="F190" s="95">
        <v>36.299999999999997</v>
      </c>
      <c r="G190" s="95">
        <v>67.400000000000006</v>
      </c>
    </row>
    <row r="191" spans="1:7" s="94" customFormat="1" ht="13">
      <c r="A191" s="570" t="s">
        <v>259</v>
      </c>
      <c r="B191" s="572"/>
      <c r="C191" s="95">
        <v>2079.5</v>
      </c>
      <c r="D191" s="95">
        <v>3.2</v>
      </c>
      <c r="E191" s="95">
        <v>52.1</v>
      </c>
      <c r="F191" s="95">
        <v>36</v>
      </c>
      <c r="G191" s="95">
        <v>67.2</v>
      </c>
    </row>
    <row r="192" spans="1:7" s="94" customFormat="1" ht="13">
      <c r="A192" s="570" t="s">
        <v>260</v>
      </c>
      <c r="B192" s="572"/>
      <c r="C192" s="95">
        <v>2083.8000000000002</v>
      </c>
      <c r="D192" s="95">
        <v>3.2</v>
      </c>
      <c r="E192" s="95">
        <v>52.3</v>
      </c>
      <c r="F192" s="95">
        <v>36.299999999999997</v>
      </c>
      <c r="G192" s="95">
        <v>67.3</v>
      </c>
    </row>
    <row r="193" spans="1:7" s="94" customFormat="1" ht="13">
      <c r="A193" s="570" t="s">
        <v>261</v>
      </c>
      <c r="B193" s="572"/>
      <c r="C193" s="95">
        <v>2087.1999999999998</v>
      </c>
      <c r="D193" s="95">
        <v>3.1</v>
      </c>
      <c r="E193" s="95">
        <v>52.4</v>
      </c>
      <c r="F193" s="95">
        <v>34.5</v>
      </c>
      <c r="G193" s="95">
        <v>68.3</v>
      </c>
    </row>
    <row r="194" spans="1:7" s="94" customFormat="1" ht="13">
      <c r="A194" s="570" t="s">
        <v>262</v>
      </c>
      <c r="B194" s="572"/>
      <c r="C194" s="95">
        <v>2091.6999999999998</v>
      </c>
      <c r="D194" s="95">
        <v>3.1</v>
      </c>
      <c r="E194" s="95">
        <v>52.7</v>
      </c>
      <c r="F194" s="95">
        <v>34.700000000000003</v>
      </c>
      <c r="G194" s="95">
        <v>68.599999999999994</v>
      </c>
    </row>
    <row r="195" spans="1:7" s="94" customFormat="1" ht="13">
      <c r="A195" s="570" t="s">
        <v>263</v>
      </c>
      <c r="B195" s="572"/>
      <c r="C195" s="95">
        <v>2097.1</v>
      </c>
      <c r="D195" s="95">
        <v>3.1</v>
      </c>
      <c r="E195" s="95">
        <v>52.8</v>
      </c>
      <c r="F195" s="95">
        <v>34.700000000000003</v>
      </c>
      <c r="G195" s="95">
        <v>68.900000000000006</v>
      </c>
    </row>
    <row r="196" spans="1:7" s="94" customFormat="1" ht="13">
      <c r="A196" s="570" t="s">
        <v>264</v>
      </c>
      <c r="B196" s="572"/>
      <c r="C196" s="95">
        <v>2101.6999999999998</v>
      </c>
      <c r="D196" s="95">
        <v>3.1</v>
      </c>
      <c r="E196" s="95">
        <v>52.8</v>
      </c>
      <c r="F196" s="95">
        <v>34.700000000000003</v>
      </c>
      <c r="G196" s="95">
        <v>68.900000000000006</v>
      </c>
    </row>
    <row r="197" spans="1:7" s="94" customFormat="1" ht="13">
      <c r="A197" s="570" t="s">
        <v>265</v>
      </c>
      <c r="B197" s="572"/>
      <c r="C197" s="95">
        <v>2106.5</v>
      </c>
      <c r="D197" s="95">
        <v>3.1</v>
      </c>
      <c r="E197" s="95">
        <v>52.8</v>
      </c>
      <c r="F197" s="95">
        <v>34.9</v>
      </c>
      <c r="G197" s="95">
        <v>68.900000000000006</v>
      </c>
    </row>
    <row r="198" spans="1:7" s="94" customFormat="1" ht="13">
      <c r="A198" s="570" t="s">
        <v>266</v>
      </c>
      <c r="B198" s="572"/>
      <c r="C198" s="95">
        <v>2111</v>
      </c>
      <c r="D198" s="95">
        <v>3.1</v>
      </c>
      <c r="E198" s="95">
        <v>52.8</v>
      </c>
      <c r="F198" s="95">
        <v>34.9</v>
      </c>
      <c r="G198" s="95">
        <v>68.8</v>
      </c>
    </row>
    <row r="199" spans="1:7" s="94" customFormat="1" ht="13">
      <c r="A199" s="570" t="s">
        <v>267</v>
      </c>
      <c r="B199" s="572"/>
      <c r="C199" s="95">
        <v>2111.8000000000002</v>
      </c>
      <c r="D199" s="95">
        <v>3.1</v>
      </c>
      <c r="E199" s="95">
        <v>53.1</v>
      </c>
      <c r="F199" s="95">
        <v>35.200000000000003</v>
      </c>
      <c r="G199" s="95">
        <v>68.7</v>
      </c>
    </row>
    <row r="200" spans="1:7" s="94" customFormat="1" ht="13">
      <c r="A200" s="570" t="s">
        <v>268</v>
      </c>
      <c r="B200" s="572"/>
      <c r="C200" s="95">
        <v>2111.8000000000002</v>
      </c>
      <c r="D200" s="95">
        <v>3.1</v>
      </c>
      <c r="E200" s="95">
        <v>53</v>
      </c>
      <c r="F200" s="95">
        <v>35.200000000000003</v>
      </c>
      <c r="G200" s="95">
        <v>68.7</v>
      </c>
    </row>
    <row r="201" spans="1:7" s="94" customFormat="1" ht="13">
      <c r="A201" s="570" t="s">
        <v>269</v>
      </c>
      <c r="B201" s="572"/>
      <c r="C201" s="95">
        <v>2113.8000000000002</v>
      </c>
      <c r="D201" s="95">
        <v>3.1</v>
      </c>
      <c r="E201" s="95">
        <v>53.2</v>
      </c>
      <c r="F201" s="95">
        <v>35.299999999999997</v>
      </c>
      <c r="G201" s="95">
        <v>68.900000000000006</v>
      </c>
    </row>
    <row r="202" spans="1:7" s="94" customFormat="1" ht="13">
      <c r="A202" s="570" t="s">
        <v>270</v>
      </c>
      <c r="B202" s="572"/>
      <c r="C202" s="95">
        <v>2112.5</v>
      </c>
      <c r="D202" s="95">
        <v>3.1</v>
      </c>
      <c r="E202" s="95">
        <v>53.2</v>
      </c>
      <c r="F202" s="95">
        <v>35.200000000000003</v>
      </c>
      <c r="G202" s="95">
        <v>69.099999999999994</v>
      </c>
    </row>
    <row r="203" spans="1:7" s="94" customFormat="1" ht="13">
      <c r="A203" s="570" t="s">
        <v>271</v>
      </c>
      <c r="B203" s="572"/>
      <c r="C203" s="95">
        <v>2111.4</v>
      </c>
      <c r="D203" s="95">
        <v>3.1</v>
      </c>
      <c r="E203" s="95">
        <v>53.5</v>
      </c>
      <c r="F203" s="95">
        <v>35.299999999999997</v>
      </c>
      <c r="G203" s="95">
        <v>69.7</v>
      </c>
    </row>
    <row r="204" spans="1:7" s="94" customFormat="1" ht="13">
      <c r="A204" s="570" t="s">
        <v>272</v>
      </c>
      <c r="B204" s="572"/>
      <c r="C204" s="95">
        <v>2108.4</v>
      </c>
      <c r="D204" s="95">
        <v>3.1</v>
      </c>
      <c r="E204" s="95">
        <v>53.3</v>
      </c>
      <c r="F204" s="95">
        <v>35.200000000000003</v>
      </c>
      <c r="G204" s="95">
        <v>69.5</v>
      </c>
    </row>
    <row r="205" spans="1:7" s="94" customFormat="1" ht="13">
      <c r="A205" s="570" t="s">
        <v>273</v>
      </c>
      <c r="B205" s="572"/>
      <c r="C205" s="95">
        <v>2109.4</v>
      </c>
      <c r="D205" s="95">
        <v>3.1</v>
      </c>
      <c r="E205" s="95">
        <v>53.2</v>
      </c>
      <c r="F205" s="95">
        <v>35</v>
      </c>
      <c r="G205" s="95">
        <v>69.599999999999994</v>
      </c>
    </row>
    <row r="206" spans="1:7" s="94" customFormat="1" ht="13">
      <c r="A206" s="570" t="s">
        <v>274</v>
      </c>
      <c r="B206" s="572"/>
      <c r="C206" s="95">
        <v>2113.4</v>
      </c>
      <c r="D206" s="95">
        <v>3.1</v>
      </c>
      <c r="E206" s="95">
        <v>53.3</v>
      </c>
      <c r="F206" s="95">
        <v>35.200000000000003</v>
      </c>
      <c r="G206" s="95">
        <v>69.599999999999994</v>
      </c>
    </row>
    <row r="207" spans="1:7" s="94" customFormat="1" ht="13">
      <c r="A207" s="570" t="s">
        <v>275</v>
      </c>
      <c r="B207" s="572"/>
      <c r="C207" s="95">
        <v>2116.4</v>
      </c>
      <c r="D207" s="95">
        <v>3.1</v>
      </c>
      <c r="E207" s="95">
        <v>53.6</v>
      </c>
      <c r="F207" s="95">
        <v>35.4</v>
      </c>
      <c r="G207" s="95">
        <v>70</v>
      </c>
    </row>
    <row r="208" spans="1:7" s="94" customFormat="1" ht="13">
      <c r="A208" s="570" t="s">
        <v>276</v>
      </c>
      <c r="B208" s="572"/>
      <c r="C208" s="95">
        <v>2121.1999999999998</v>
      </c>
      <c r="D208" s="95">
        <v>3.1</v>
      </c>
      <c r="E208" s="95">
        <v>53.3</v>
      </c>
      <c r="F208" s="95">
        <v>35.299999999999997</v>
      </c>
      <c r="G208" s="95">
        <v>69.5</v>
      </c>
    </row>
    <row r="209" spans="1:7" s="94" customFormat="1" ht="13">
      <c r="A209" s="570" t="s">
        <v>277</v>
      </c>
      <c r="B209" s="572"/>
      <c r="C209" s="95">
        <v>2127.4</v>
      </c>
      <c r="D209" s="95">
        <v>3.1</v>
      </c>
      <c r="E209" s="95">
        <v>53.2</v>
      </c>
      <c r="F209" s="95">
        <v>35.200000000000003</v>
      </c>
      <c r="G209" s="95">
        <v>69.3</v>
      </c>
    </row>
    <row r="210" spans="1:7" s="94" customFormat="1" ht="13">
      <c r="A210" s="570" t="s">
        <v>278</v>
      </c>
      <c r="B210" s="572"/>
      <c r="C210" s="95">
        <v>2133.1</v>
      </c>
      <c r="D210" s="95">
        <v>3.1</v>
      </c>
      <c r="E210" s="95">
        <v>53</v>
      </c>
      <c r="F210" s="95">
        <v>34.799999999999997</v>
      </c>
      <c r="G210" s="95">
        <v>69.2</v>
      </c>
    </row>
    <row r="211" spans="1:7" s="94" customFormat="1" ht="13">
      <c r="A211" s="570" t="s">
        <v>279</v>
      </c>
      <c r="B211" s="572"/>
      <c r="C211" s="95">
        <v>2136.5</v>
      </c>
      <c r="D211" s="95">
        <v>3.1</v>
      </c>
      <c r="E211" s="95">
        <v>53.3</v>
      </c>
      <c r="F211" s="95">
        <v>34.9</v>
      </c>
      <c r="G211" s="95">
        <v>69.7</v>
      </c>
    </row>
    <row r="212" spans="1:7" s="94" customFormat="1" ht="13">
      <c r="A212" s="570" t="s">
        <v>280</v>
      </c>
      <c r="B212" s="572"/>
      <c r="C212" s="95">
        <v>2136.8000000000002</v>
      </c>
      <c r="D212" s="95">
        <v>3.1</v>
      </c>
      <c r="E212" s="95">
        <v>53.3</v>
      </c>
      <c r="F212" s="95">
        <v>34.700000000000003</v>
      </c>
      <c r="G212" s="95">
        <v>70</v>
      </c>
    </row>
    <row r="213" spans="1:7" s="94" customFormat="1" ht="13">
      <c r="A213" s="570" t="s">
        <v>281</v>
      </c>
      <c r="B213" s="572"/>
      <c r="C213" s="95">
        <v>2138.3000000000002</v>
      </c>
      <c r="D213" s="95">
        <v>3.1</v>
      </c>
      <c r="E213" s="95">
        <v>53.2</v>
      </c>
      <c r="F213" s="95">
        <v>34.700000000000003</v>
      </c>
      <c r="G213" s="95">
        <v>69.900000000000006</v>
      </c>
    </row>
    <row r="214" spans="1:7" s="94" customFormat="1" ht="13">
      <c r="A214" s="570" t="s">
        <v>282</v>
      </c>
      <c r="B214" s="572"/>
      <c r="C214" s="95">
        <v>2141.4</v>
      </c>
      <c r="D214" s="95">
        <v>3.1</v>
      </c>
      <c r="E214" s="95">
        <v>53.4</v>
      </c>
      <c r="F214" s="95">
        <v>34.6</v>
      </c>
      <c r="G214" s="95">
        <v>70.5</v>
      </c>
    </row>
    <row r="215" spans="1:7" s="94" customFormat="1" ht="13">
      <c r="A215" s="570" t="s">
        <v>283</v>
      </c>
      <c r="B215" s="572"/>
      <c r="C215" s="95">
        <v>2144.6999999999998</v>
      </c>
      <c r="D215" s="95">
        <v>3.1</v>
      </c>
      <c r="E215" s="95">
        <v>53.8</v>
      </c>
      <c r="F215" s="95">
        <v>34.700000000000003</v>
      </c>
      <c r="G215" s="95">
        <v>71.099999999999994</v>
      </c>
    </row>
    <row r="216" spans="1:7" s="94" customFormat="1" ht="13">
      <c r="A216" s="570" t="s">
        <v>284</v>
      </c>
      <c r="B216" s="572"/>
      <c r="C216" s="95">
        <v>2145.5</v>
      </c>
      <c r="D216" s="95">
        <v>3.1</v>
      </c>
      <c r="E216" s="95">
        <v>54.4</v>
      </c>
      <c r="F216" s="95">
        <v>35</v>
      </c>
      <c r="G216" s="95">
        <v>71.900000000000006</v>
      </c>
    </row>
    <row r="217" spans="1:7" s="94" customFormat="1" ht="13">
      <c r="A217" s="570" t="s">
        <v>285</v>
      </c>
      <c r="B217" s="572"/>
      <c r="C217" s="95">
        <v>2148.6</v>
      </c>
      <c r="D217" s="95">
        <v>3.1</v>
      </c>
      <c r="E217" s="95">
        <v>54.2</v>
      </c>
      <c r="F217" s="95">
        <v>35</v>
      </c>
      <c r="G217" s="95">
        <v>71.2</v>
      </c>
    </row>
    <row r="218" spans="1:7" s="94" customFormat="1" ht="13">
      <c r="A218" s="570" t="s">
        <v>286</v>
      </c>
      <c r="B218" s="572"/>
      <c r="C218" s="95">
        <v>2152.8000000000002</v>
      </c>
      <c r="D218" s="95">
        <v>3.1</v>
      </c>
      <c r="E218" s="95">
        <v>54.1</v>
      </c>
      <c r="F218" s="95">
        <v>35.1</v>
      </c>
      <c r="G218" s="95">
        <v>70.8</v>
      </c>
    </row>
    <row r="219" spans="1:7" s="94" customFormat="1" ht="13">
      <c r="A219" s="570" t="s">
        <v>287</v>
      </c>
      <c r="B219" s="572"/>
      <c r="C219" s="95">
        <v>2158.1999999999998</v>
      </c>
      <c r="D219" s="95">
        <v>3.1</v>
      </c>
      <c r="E219" s="95">
        <v>53.9</v>
      </c>
      <c r="F219" s="95">
        <v>34.9</v>
      </c>
      <c r="G219" s="95">
        <v>70.5</v>
      </c>
    </row>
    <row r="220" spans="1:7" s="94" customFormat="1" ht="13">
      <c r="A220" s="570" t="s">
        <v>288</v>
      </c>
      <c r="B220" s="572"/>
      <c r="C220" s="95">
        <v>2162</v>
      </c>
      <c r="D220" s="95">
        <v>3</v>
      </c>
      <c r="E220" s="95">
        <v>54.2</v>
      </c>
      <c r="F220" s="95">
        <v>35</v>
      </c>
      <c r="G220" s="95">
        <v>71.099999999999994</v>
      </c>
    </row>
    <row r="221" spans="1:7" s="94" customFormat="1" ht="13">
      <c r="A221" s="570" t="s">
        <v>289</v>
      </c>
      <c r="B221" s="572"/>
      <c r="C221" s="95">
        <v>2164.6</v>
      </c>
      <c r="D221" s="95">
        <v>3.1</v>
      </c>
      <c r="E221" s="95">
        <v>54.2</v>
      </c>
      <c r="F221" s="95">
        <v>34.799999999999997</v>
      </c>
      <c r="G221" s="95">
        <v>71.400000000000006</v>
      </c>
    </row>
    <row r="222" spans="1:7" s="94" customFormat="1" ht="13">
      <c r="A222" s="570" t="s">
        <v>290</v>
      </c>
      <c r="B222" s="572"/>
      <c r="C222" s="95">
        <v>2169.9</v>
      </c>
      <c r="D222" s="95">
        <v>3</v>
      </c>
      <c r="E222" s="95">
        <v>54.3</v>
      </c>
      <c r="F222" s="95">
        <v>34.9</v>
      </c>
      <c r="G222" s="95">
        <v>71.5</v>
      </c>
    </row>
    <row r="223" spans="1:7" s="94" customFormat="1" ht="13">
      <c r="A223" s="570" t="s">
        <v>291</v>
      </c>
      <c r="B223" s="572"/>
      <c r="C223" s="95">
        <v>2173.3000000000002</v>
      </c>
      <c r="D223" s="95">
        <v>3</v>
      </c>
      <c r="E223" s="95">
        <v>54</v>
      </c>
      <c r="F223" s="95">
        <v>34.700000000000003</v>
      </c>
      <c r="G223" s="95">
        <v>71.099999999999994</v>
      </c>
    </row>
    <row r="224" spans="1:7" s="94" customFormat="1" ht="13">
      <c r="A224" s="570" t="s">
        <v>292</v>
      </c>
      <c r="B224" s="572"/>
      <c r="C224" s="95">
        <v>2176</v>
      </c>
      <c r="D224" s="95">
        <v>3</v>
      </c>
      <c r="E224" s="95">
        <v>53.8</v>
      </c>
      <c r="F224" s="95">
        <v>34.6</v>
      </c>
      <c r="G224" s="95">
        <v>70.8</v>
      </c>
    </row>
    <row r="225" spans="1:7" s="94" customFormat="1" ht="13">
      <c r="A225" s="570" t="s">
        <v>293</v>
      </c>
      <c r="B225" s="572"/>
      <c r="C225" s="95">
        <v>2177</v>
      </c>
      <c r="D225" s="95">
        <v>3</v>
      </c>
      <c r="E225" s="95">
        <v>53.8</v>
      </c>
      <c r="F225" s="95">
        <v>34.700000000000003</v>
      </c>
      <c r="G225" s="95">
        <v>70.599999999999994</v>
      </c>
    </row>
    <row r="226" spans="1:7" s="94" customFormat="1" ht="13">
      <c r="A226" s="570" t="s">
        <v>294</v>
      </c>
      <c r="B226" s="572"/>
      <c r="C226" s="95">
        <v>2179.8000000000002</v>
      </c>
      <c r="D226" s="95">
        <v>3</v>
      </c>
      <c r="E226" s="95">
        <v>53.8</v>
      </c>
      <c r="F226" s="95">
        <v>34.4</v>
      </c>
      <c r="G226" s="95">
        <v>70.599999999999994</v>
      </c>
    </row>
    <row r="227" spans="1:7" s="94" customFormat="1" ht="13">
      <c r="A227" s="570" t="s">
        <v>295</v>
      </c>
      <c r="B227" s="572"/>
      <c r="C227" s="95">
        <v>2182.8000000000002</v>
      </c>
      <c r="D227" s="95">
        <v>3</v>
      </c>
      <c r="E227" s="95">
        <v>53.6</v>
      </c>
      <c r="F227" s="95">
        <v>34.4</v>
      </c>
      <c r="G227" s="95">
        <v>70.2</v>
      </c>
    </row>
    <row r="228" spans="1:7" s="94" customFormat="1" ht="13">
      <c r="A228" s="570" t="s">
        <v>296</v>
      </c>
      <c r="B228" s="572"/>
      <c r="C228" s="95">
        <v>2186.4</v>
      </c>
      <c r="D228" s="95">
        <v>3</v>
      </c>
      <c r="E228" s="95">
        <v>53.8</v>
      </c>
      <c r="F228" s="95">
        <v>34.5</v>
      </c>
      <c r="G228" s="95">
        <v>70.3</v>
      </c>
    </row>
    <row r="229" spans="1:7" s="94" customFormat="1" ht="13">
      <c r="A229" s="570" t="s">
        <v>297</v>
      </c>
      <c r="B229" s="572"/>
      <c r="C229" s="95">
        <v>2191.1999999999998</v>
      </c>
      <c r="D229" s="95">
        <v>3</v>
      </c>
      <c r="E229" s="95">
        <v>53.7</v>
      </c>
      <c r="F229" s="95">
        <v>34.700000000000003</v>
      </c>
      <c r="G229" s="95">
        <v>70.099999999999994</v>
      </c>
    </row>
    <row r="230" spans="1:7" s="94" customFormat="1" ht="13">
      <c r="A230" s="570" t="s">
        <v>298</v>
      </c>
      <c r="B230" s="572"/>
      <c r="C230" s="95">
        <v>2190.1</v>
      </c>
      <c r="D230" s="95">
        <v>3</v>
      </c>
      <c r="E230" s="95">
        <v>53.4</v>
      </c>
      <c r="F230" s="95">
        <v>34.6</v>
      </c>
      <c r="G230" s="95">
        <v>69.900000000000006</v>
      </c>
    </row>
    <row r="231" spans="1:7" s="94" customFormat="1" ht="13">
      <c r="A231" s="570" t="s">
        <v>299</v>
      </c>
      <c r="B231" s="572"/>
      <c r="C231" s="95">
        <v>2193.6</v>
      </c>
      <c r="D231" s="95">
        <v>3</v>
      </c>
      <c r="E231" s="95">
        <v>53.3</v>
      </c>
      <c r="F231" s="95">
        <v>34.5</v>
      </c>
      <c r="G231" s="95">
        <v>69.8</v>
      </c>
    </row>
    <row r="232" spans="1:7" s="94" customFormat="1" ht="13">
      <c r="A232" s="570" t="s">
        <v>300</v>
      </c>
      <c r="B232" s="572"/>
      <c r="C232" s="95">
        <v>2196.4</v>
      </c>
      <c r="D232" s="95">
        <v>3</v>
      </c>
      <c r="E232" s="95">
        <v>53.9</v>
      </c>
      <c r="F232" s="95">
        <v>34.6</v>
      </c>
      <c r="G232" s="95">
        <v>70.599999999999994</v>
      </c>
    </row>
    <row r="233" spans="1:7" s="94" customFormat="1" ht="13">
      <c r="A233" s="570" t="s">
        <v>301</v>
      </c>
      <c r="B233" s="572"/>
      <c r="C233" s="95">
        <v>2200.1999999999998</v>
      </c>
      <c r="D233" s="95">
        <v>3</v>
      </c>
      <c r="E233" s="95">
        <v>53.8</v>
      </c>
      <c r="F233" s="95">
        <v>34.6</v>
      </c>
      <c r="G233" s="95">
        <v>70.5</v>
      </c>
    </row>
    <row r="234" spans="1:7" s="94" customFormat="1" ht="13">
      <c r="A234" s="570" t="s">
        <v>302</v>
      </c>
      <c r="B234" s="572"/>
      <c r="C234" s="95">
        <v>2198.4</v>
      </c>
      <c r="D234" s="95">
        <v>3</v>
      </c>
      <c r="E234" s="95">
        <v>53.7</v>
      </c>
      <c r="F234" s="95">
        <v>34.1</v>
      </c>
      <c r="G234" s="95">
        <v>70.7</v>
      </c>
    </row>
    <row r="235" spans="1:7" s="94" customFormat="1" ht="13">
      <c r="A235" s="570" t="s">
        <v>303</v>
      </c>
      <c r="B235" s="572"/>
      <c r="C235" s="95">
        <v>2195.4</v>
      </c>
      <c r="D235" s="95">
        <v>3</v>
      </c>
      <c r="E235" s="95">
        <v>53.4</v>
      </c>
      <c r="F235" s="95">
        <v>33.9</v>
      </c>
      <c r="G235" s="95">
        <v>70.5</v>
      </c>
    </row>
    <row r="236" spans="1:7" s="94" customFormat="1" ht="13">
      <c r="A236" s="570" t="s">
        <v>304</v>
      </c>
      <c r="B236" s="572"/>
      <c r="C236" s="95">
        <v>2194.9</v>
      </c>
      <c r="D236" s="95">
        <v>3</v>
      </c>
      <c r="E236" s="95">
        <v>53.5</v>
      </c>
      <c r="F236" s="95">
        <v>33.799999999999997</v>
      </c>
      <c r="G236" s="95">
        <v>71</v>
      </c>
    </row>
    <row r="237" spans="1:7" s="94" customFormat="1" ht="13">
      <c r="A237" s="570" t="s">
        <v>305</v>
      </c>
      <c r="B237" s="572"/>
      <c r="C237" s="95">
        <v>2196.4</v>
      </c>
      <c r="D237" s="95">
        <v>3</v>
      </c>
      <c r="E237" s="95">
        <v>53.4</v>
      </c>
      <c r="F237" s="95">
        <v>34.1</v>
      </c>
      <c r="G237" s="95">
        <v>70.5</v>
      </c>
    </row>
    <row r="238" spans="1:7" s="94" customFormat="1" ht="13">
      <c r="A238" s="570" t="s">
        <v>306</v>
      </c>
      <c r="B238" s="572"/>
      <c r="C238" s="95">
        <v>2197.6999999999998</v>
      </c>
      <c r="D238" s="95">
        <v>3</v>
      </c>
      <c r="E238" s="95">
        <v>53.3</v>
      </c>
      <c r="F238" s="95">
        <v>34.299999999999997</v>
      </c>
      <c r="G238" s="95">
        <v>70.3</v>
      </c>
    </row>
    <row r="239" spans="1:7" s="94" customFormat="1" ht="13">
      <c r="A239" s="570" t="s">
        <v>307</v>
      </c>
      <c r="B239" s="572"/>
      <c r="C239" s="95">
        <v>2199.1999999999998</v>
      </c>
      <c r="D239" s="95">
        <v>3</v>
      </c>
      <c r="E239" s="95">
        <v>53.6</v>
      </c>
      <c r="F239" s="95">
        <v>34.5</v>
      </c>
      <c r="G239" s="95">
        <v>70.400000000000006</v>
      </c>
    </row>
    <row r="240" spans="1:7" s="94" customFormat="1" ht="13">
      <c r="A240" s="570" t="s">
        <v>308</v>
      </c>
      <c r="B240" s="572"/>
      <c r="C240" s="95">
        <v>2199.1999999999998</v>
      </c>
      <c r="D240" s="95">
        <v>3</v>
      </c>
      <c r="E240" s="95">
        <v>53.8</v>
      </c>
      <c r="F240" s="95">
        <v>34.4</v>
      </c>
      <c r="G240" s="95">
        <v>70.8</v>
      </c>
    </row>
    <row r="241" spans="1:7" s="94" customFormat="1" ht="13">
      <c r="A241" s="570" t="s">
        <v>309</v>
      </c>
      <c r="B241" s="572"/>
      <c r="C241" s="95">
        <v>2201.1</v>
      </c>
      <c r="D241" s="95">
        <v>3</v>
      </c>
      <c r="E241" s="95">
        <v>53.8</v>
      </c>
      <c r="F241" s="95">
        <v>34.6</v>
      </c>
      <c r="G241" s="95">
        <v>70.8</v>
      </c>
    </row>
    <row r="242" spans="1:7" s="94" customFormat="1" ht="13">
      <c r="A242" s="570" t="s">
        <v>310</v>
      </c>
      <c r="B242" s="572"/>
      <c r="C242" s="95">
        <v>2204</v>
      </c>
      <c r="D242" s="95">
        <v>3</v>
      </c>
      <c r="E242" s="95">
        <v>53.8</v>
      </c>
      <c r="F242" s="95">
        <v>35</v>
      </c>
      <c r="G242" s="95">
        <v>70.400000000000006</v>
      </c>
    </row>
    <row r="243" spans="1:7" s="94" customFormat="1" ht="13">
      <c r="A243" s="570" t="s">
        <v>311</v>
      </c>
      <c r="B243" s="572"/>
      <c r="C243" s="95">
        <v>2209</v>
      </c>
      <c r="D243" s="95">
        <v>3</v>
      </c>
      <c r="E243" s="95">
        <v>53.9</v>
      </c>
      <c r="F243" s="95">
        <v>34.799999999999997</v>
      </c>
      <c r="G243" s="95">
        <v>70.599999999999994</v>
      </c>
    </row>
    <row r="244" spans="1:7" s="94" customFormat="1" ht="13">
      <c r="A244" s="570" t="s">
        <v>312</v>
      </c>
      <c r="B244" s="572"/>
      <c r="C244" s="95">
        <v>2216.5</v>
      </c>
      <c r="D244" s="95">
        <v>3</v>
      </c>
      <c r="E244" s="95">
        <v>53.8</v>
      </c>
      <c r="F244" s="95">
        <v>34.6</v>
      </c>
      <c r="G244" s="95">
        <v>70.599999999999994</v>
      </c>
    </row>
    <row r="245" spans="1:7" s="94" customFormat="1" ht="13">
      <c r="A245" s="570" t="s">
        <v>313</v>
      </c>
      <c r="B245" s="572"/>
      <c r="C245" s="95">
        <v>2221.3000000000002</v>
      </c>
      <c r="D245" s="95">
        <v>3</v>
      </c>
      <c r="E245" s="95">
        <v>53.7</v>
      </c>
      <c r="F245" s="95">
        <v>34.299999999999997</v>
      </c>
      <c r="G245" s="95">
        <v>70.7</v>
      </c>
    </row>
    <row r="246" spans="1:7" s="94" customFormat="1" ht="13">
      <c r="A246" s="570" t="s">
        <v>314</v>
      </c>
      <c r="B246" s="572"/>
      <c r="C246" s="95">
        <v>2229.4</v>
      </c>
      <c r="D246" s="95">
        <v>3</v>
      </c>
      <c r="E246" s="95">
        <v>53.6</v>
      </c>
      <c r="F246" s="95">
        <v>34.1</v>
      </c>
      <c r="G246" s="95">
        <v>70.7</v>
      </c>
    </row>
    <row r="247" spans="1:7" s="94" customFormat="1" ht="13">
      <c r="A247" s="570" t="s">
        <v>315</v>
      </c>
      <c r="B247" s="572"/>
      <c r="C247" s="95">
        <v>2229.9</v>
      </c>
      <c r="D247" s="95">
        <v>3</v>
      </c>
      <c r="E247" s="95">
        <v>53.6</v>
      </c>
      <c r="F247" s="95">
        <v>34.1</v>
      </c>
      <c r="G247" s="95">
        <v>70.400000000000006</v>
      </c>
    </row>
    <row r="248" spans="1:7" s="94" customFormat="1" ht="13">
      <c r="A248" s="570" t="s">
        <v>316</v>
      </c>
      <c r="B248" s="572"/>
      <c r="C248" s="95">
        <v>2232.4</v>
      </c>
      <c r="D248" s="95">
        <v>3</v>
      </c>
      <c r="E248" s="95">
        <v>53.6</v>
      </c>
      <c r="F248" s="95">
        <v>34.200000000000003</v>
      </c>
      <c r="G248" s="95">
        <v>70.3</v>
      </c>
    </row>
    <row r="249" spans="1:7" s="94" customFormat="1" ht="13">
      <c r="A249" s="570" t="s">
        <v>317</v>
      </c>
      <c r="B249" s="572"/>
      <c r="C249" s="95">
        <v>2232.1</v>
      </c>
      <c r="D249" s="95">
        <v>3</v>
      </c>
      <c r="E249" s="95">
        <v>53.6</v>
      </c>
      <c r="F249" s="95">
        <v>34.200000000000003</v>
      </c>
      <c r="G249" s="95">
        <v>70.2</v>
      </c>
    </row>
    <row r="250" spans="1:7" s="94" customFormat="1" ht="13">
      <c r="A250" s="570" t="s">
        <v>318</v>
      </c>
      <c r="B250" s="572"/>
      <c r="C250" s="95">
        <v>2236.1999999999998</v>
      </c>
      <c r="D250" s="95">
        <v>3</v>
      </c>
      <c r="E250" s="95">
        <v>53.5</v>
      </c>
      <c r="F250" s="95">
        <v>34.1</v>
      </c>
      <c r="G250" s="95">
        <v>70.3</v>
      </c>
    </row>
    <row r="251" spans="1:7" s="94" customFormat="1" ht="13">
      <c r="A251" s="570" t="s">
        <v>319</v>
      </c>
      <c r="B251" s="572"/>
      <c r="C251" s="95">
        <v>2238.1</v>
      </c>
      <c r="D251" s="95">
        <v>3</v>
      </c>
      <c r="E251" s="95">
        <v>53.5</v>
      </c>
      <c r="F251" s="95">
        <v>34.1</v>
      </c>
      <c r="G251" s="95">
        <v>70.3</v>
      </c>
    </row>
    <row r="252" spans="1:7" s="94" customFormat="1" ht="13">
      <c r="A252" s="570" t="s">
        <v>320</v>
      </c>
      <c r="B252" s="572"/>
      <c r="C252" s="95">
        <v>2237.6999999999998</v>
      </c>
      <c r="D252" s="95">
        <v>3</v>
      </c>
      <c r="E252" s="95">
        <v>53.2</v>
      </c>
      <c r="F252" s="95">
        <v>34.1</v>
      </c>
      <c r="G252" s="95">
        <v>69.8</v>
      </c>
    </row>
    <row r="253" spans="1:7" s="94" customFormat="1" ht="13">
      <c r="A253" s="570" t="s">
        <v>321</v>
      </c>
      <c r="B253" s="572"/>
      <c r="C253" s="95">
        <v>2239.9</v>
      </c>
      <c r="D253" s="95">
        <v>3</v>
      </c>
      <c r="E253" s="95">
        <v>53</v>
      </c>
      <c r="F253" s="95">
        <v>34.200000000000003</v>
      </c>
      <c r="G253" s="95">
        <v>69.599999999999994</v>
      </c>
    </row>
    <row r="254" spans="1:7" s="94" customFormat="1" ht="13">
      <c r="A254" s="570" t="s">
        <v>322</v>
      </c>
      <c r="B254" s="572"/>
      <c r="C254" s="95">
        <v>2239.5</v>
      </c>
      <c r="D254" s="95">
        <v>3</v>
      </c>
      <c r="E254" s="95">
        <v>53.1</v>
      </c>
      <c r="F254" s="95">
        <v>34.200000000000003</v>
      </c>
      <c r="G254" s="95">
        <v>69.8</v>
      </c>
    </row>
    <row r="255" spans="1:7" s="94" customFormat="1" ht="13">
      <c r="A255" s="570" t="s">
        <v>323</v>
      </c>
      <c r="B255" s="572"/>
      <c r="C255" s="95">
        <v>2243</v>
      </c>
      <c r="D255" s="95">
        <v>3</v>
      </c>
      <c r="E255" s="95">
        <v>52.9</v>
      </c>
      <c r="F255" s="95">
        <v>34.299999999999997</v>
      </c>
      <c r="G255" s="95">
        <v>69.3</v>
      </c>
    </row>
    <row r="256" spans="1:7" s="94" customFormat="1" ht="13">
      <c r="A256" s="570" t="s">
        <v>324</v>
      </c>
      <c r="B256" s="572"/>
      <c r="C256" s="95">
        <v>2244.6999999999998</v>
      </c>
      <c r="D256" s="95">
        <v>3</v>
      </c>
      <c r="E256" s="95">
        <v>52.9</v>
      </c>
      <c r="F256" s="95">
        <v>34.4</v>
      </c>
      <c r="G256" s="95">
        <v>69.2</v>
      </c>
    </row>
    <row r="257" spans="1:7" s="94" customFormat="1" ht="13">
      <c r="A257" s="570" t="s">
        <v>325</v>
      </c>
      <c r="B257" s="572"/>
      <c r="C257" s="95">
        <v>2251</v>
      </c>
      <c r="D257" s="95">
        <v>3</v>
      </c>
      <c r="E257" s="95">
        <v>52.8</v>
      </c>
      <c r="F257" s="95">
        <v>34.4</v>
      </c>
      <c r="G257" s="95">
        <v>68.8</v>
      </c>
    </row>
    <row r="258" spans="1:7" s="94" customFormat="1" ht="13">
      <c r="A258" s="570" t="s">
        <v>326</v>
      </c>
      <c r="B258" s="572"/>
      <c r="C258" s="95">
        <v>2257.6</v>
      </c>
      <c r="D258" s="95">
        <v>3</v>
      </c>
      <c r="E258" s="95">
        <v>53.1</v>
      </c>
      <c r="F258" s="95">
        <v>34.5</v>
      </c>
      <c r="G258" s="95">
        <v>69.2</v>
      </c>
    </row>
    <row r="259" spans="1:7" s="94" customFormat="1" ht="13">
      <c r="A259" s="570" t="s">
        <v>327</v>
      </c>
      <c r="B259" s="572"/>
      <c r="C259" s="95">
        <v>2258.6999999999998</v>
      </c>
      <c r="D259" s="95">
        <v>3</v>
      </c>
      <c r="E259" s="95">
        <v>53.2</v>
      </c>
      <c r="F259" s="95">
        <v>34.5</v>
      </c>
      <c r="G259" s="95">
        <v>69.400000000000006</v>
      </c>
    </row>
    <row r="260" spans="1:7" s="94" customFormat="1" ht="13">
      <c r="A260" s="570" t="s">
        <v>328</v>
      </c>
      <c r="B260" s="572"/>
      <c r="C260" s="95">
        <v>2258.1999999999998</v>
      </c>
      <c r="D260" s="95">
        <v>3</v>
      </c>
      <c r="E260" s="95">
        <v>53</v>
      </c>
      <c r="F260" s="95">
        <v>34.6</v>
      </c>
      <c r="G260" s="95">
        <v>69.2</v>
      </c>
    </row>
    <row r="261" spans="1:7" s="94" customFormat="1" ht="13">
      <c r="A261" s="570" t="s">
        <v>329</v>
      </c>
      <c r="B261" s="572"/>
      <c r="C261" s="95">
        <v>2258.1999999999998</v>
      </c>
      <c r="D261" s="95">
        <v>3</v>
      </c>
      <c r="E261" s="95">
        <v>53.2</v>
      </c>
      <c r="F261" s="95">
        <v>34.700000000000003</v>
      </c>
      <c r="G261" s="95">
        <v>69.3</v>
      </c>
    </row>
    <row r="262" spans="1:7" s="94" customFormat="1" ht="13">
      <c r="A262" s="570" t="s">
        <v>330</v>
      </c>
      <c r="B262" s="572"/>
      <c r="C262" s="95">
        <v>2261.8000000000002</v>
      </c>
      <c r="D262" s="95">
        <v>3</v>
      </c>
      <c r="E262" s="95">
        <v>53.3</v>
      </c>
      <c r="F262" s="95">
        <v>34.799999999999997</v>
      </c>
      <c r="G262" s="95">
        <v>69.5</v>
      </c>
    </row>
    <row r="263" spans="1:7" s="94" customFormat="1" ht="13">
      <c r="A263" s="570" t="s">
        <v>331</v>
      </c>
      <c r="B263" s="572"/>
      <c r="C263" s="95">
        <v>2265.3000000000002</v>
      </c>
      <c r="D263" s="95">
        <v>3</v>
      </c>
      <c r="E263" s="95">
        <v>53.6</v>
      </c>
      <c r="F263" s="95">
        <v>34.799999999999997</v>
      </c>
      <c r="G263" s="95">
        <v>69.900000000000006</v>
      </c>
    </row>
    <row r="264" spans="1:7" s="94" customFormat="1" ht="13">
      <c r="A264" s="570" t="s">
        <v>332</v>
      </c>
      <c r="B264" s="572"/>
      <c r="C264" s="95">
        <v>2264</v>
      </c>
      <c r="D264" s="95">
        <v>3</v>
      </c>
      <c r="E264" s="95">
        <v>53.8</v>
      </c>
      <c r="F264" s="95">
        <v>35</v>
      </c>
      <c r="G264" s="95">
        <v>70.099999999999994</v>
      </c>
    </row>
    <row r="265" spans="1:7" s="94" customFormat="1" ht="13">
      <c r="A265" s="570" t="s">
        <v>333</v>
      </c>
      <c r="B265" s="572"/>
      <c r="C265" s="95">
        <v>2264.4</v>
      </c>
      <c r="D265" s="95">
        <v>3</v>
      </c>
      <c r="E265" s="95">
        <v>53.7</v>
      </c>
      <c r="F265" s="95">
        <v>35.200000000000003</v>
      </c>
      <c r="G265" s="95">
        <v>69.8</v>
      </c>
    </row>
    <row r="266" spans="1:7" s="94" customFormat="1" ht="13">
      <c r="A266" s="570" t="s">
        <v>334</v>
      </c>
      <c r="B266" s="572"/>
      <c r="C266" s="95">
        <v>2268.4</v>
      </c>
      <c r="D266" s="95">
        <v>3</v>
      </c>
      <c r="E266" s="95">
        <v>53.7</v>
      </c>
      <c r="F266" s="95">
        <v>35</v>
      </c>
      <c r="G266" s="95">
        <v>69.900000000000006</v>
      </c>
    </row>
    <row r="267" spans="1:7" s="94" customFormat="1" ht="13">
      <c r="A267" s="570" t="s">
        <v>335</v>
      </c>
      <c r="B267" s="572"/>
      <c r="C267" s="95">
        <v>2272.6999999999998</v>
      </c>
      <c r="D267" s="95">
        <v>3</v>
      </c>
      <c r="E267" s="95">
        <v>53.9</v>
      </c>
      <c r="F267" s="95">
        <v>34.9</v>
      </c>
      <c r="G267" s="95">
        <v>70.099999999999994</v>
      </c>
    </row>
    <row r="268" spans="1:7" s="94" customFormat="1" ht="13">
      <c r="A268" s="570" t="s">
        <v>336</v>
      </c>
      <c r="B268" s="572"/>
      <c r="C268" s="95">
        <v>2276.8000000000002</v>
      </c>
      <c r="D268" s="95">
        <v>3</v>
      </c>
      <c r="E268" s="95">
        <v>53.8</v>
      </c>
      <c r="F268" s="95">
        <v>34.799999999999997</v>
      </c>
      <c r="G268" s="95">
        <v>70.3</v>
      </c>
    </row>
    <row r="269" spans="1:7" s="94" customFormat="1" ht="13">
      <c r="A269" s="570" t="s">
        <v>337</v>
      </c>
      <c r="B269" s="572"/>
      <c r="C269" s="95">
        <v>2279.9</v>
      </c>
      <c r="D269" s="95">
        <v>3</v>
      </c>
      <c r="E269" s="95">
        <v>53.8</v>
      </c>
      <c r="F269" s="95">
        <v>34.9</v>
      </c>
      <c r="G269" s="95">
        <v>70.099999999999994</v>
      </c>
    </row>
    <row r="270" spans="1:7" s="94" customFormat="1" ht="13">
      <c r="A270" s="570" t="s">
        <v>338</v>
      </c>
      <c r="B270" s="572"/>
      <c r="C270" s="95">
        <v>2286.3000000000002</v>
      </c>
      <c r="D270" s="95">
        <v>3</v>
      </c>
      <c r="E270" s="95">
        <v>53.5</v>
      </c>
      <c r="F270" s="95">
        <v>34.6</v>
      </c>
      <c r="G270" s="95">
        <v>69.8</v>
      </c>
    </row>
    <row r="271" spans="1:7" s="94" customFormat="1" ht="13">
      <c r="A271" s="570" t="s">
        <v>339</v>
      </c>
      <c r="B271" s="572"/>
      <c r="C271" s="95">
        <v>2288.5</v>
      </c>
      <c r="D271" s="95">
        <v>3</v>
      </c>
      <c r="E271" s="95">
        <v>53.5</v>
      </c>
      <c r="F271" s="95">
        <v>34.5</v>
      </c>
      <c r="G271" s="95">
        <v>69.900000000000006</v>
      </c>
    </row>
    <row r="272" spans="1:7" s="94" customFormat="1" ht="13">
      <c r="A272" s="570" t="s">
        <v>340</v>
      </c>
      <c r="B272" s="572"/>
      <c r="C272" s="95">
        <v>2287.6999999999998</v>
      </c>
      <c r="D272" s="95">
        <v>3</v>
      </c>
      <c r="E272" s="95">
        <v>53.6</v>
      </c>
      <c r="F272" s="95">
        <v>34.6</v>
      </c>
      <c r="G272" s="95">
        <v>69.900000000000006</v>
      </c>
    </row>
    <row r="273" spans="1:7" s="94" customFormat="1" ht="13">
      <c r="A273" s="570" t="s">
        <v>341</v>
      </c>
      <c r="B273" s="572"/>
      <c r="C273" s="95">
        <v>2283.9</v>
      </c>
      <c r="D273" s="95">
        <v>3</v>
      </c>
      <c r="E273" s="95">
        <v>53.6</v>
      </c>
      <c r="F273" s="95">
        <v>34.700000000000003</v>
      </c>
      <c r="G273" s="95">
        <v>69.8</v>
      </c>
    </row>
    <row r="274" spans="1:7" s="94" customFormat="1" ht="13">
      <c r="A274" s="570" t="s">
        <v>342</v>
      </c>
      <c r="B274" s="572"/>
      <c r="C274" s="95">
        <v>2285.9</v>
      </c>
      <c r="D274" s="95">
        <v>3</v>
      </c>
      <c r="E274" s="95">
        <v>53.5</v>
      </c>
      <c r="F274" s="95">
        <v>34.799999999999997</v>
      </c>
      <c r="G274" s="95">
        <v>69.400000000000006</v>
      </c>
    </row>
    <row r="275" spans="1:7" s="94" customFormat="1" ht="13">
      <c r="A275" s="570" t="s">
        <v>343</v>
      </c>
      <c r="B275" s="572"/>
      <c r="C275" s="95">
        <v>2286.1999999999998</v>
      </c>
      <c r="D275" s="95">
        <v>3</v>
      </c>
      <c r="E275" s="95">
        <v>53.6</v>
      </c>
      <c r="F275" s="95">
        <v>35</v>
      </c>
      <c r="G275" s="95">
        <v>69.3</v>
      </c>
    </row>
    <row r="276" spans="1:7" s="94" customFormat="1" ht="13">
      <c r="A276" s="570" t="s">
        <v>344</v>
      </c>
      <c r="B276" s="572"/>
      <c r="C276" s="95">
        <v>2287</v>
      </c>
      <c r="D276" s="95">
        <v>3</v>
      </c>
      <c r="E276" s="95">
        <v>53.7</v>
      </c>
      <c r="F276" s="95">
        <v>34.9</v>
      </c>
      <c r="G276" s="95">
        <v>69.599999999999994</v>
      </c>
    </row>
    <row r="277" spans="1:7" s="94" customFormat="1" ht="13">
      <c r="A277" s="570" t="s">
        <v>345</v>
      </c>
      <c r="B277" s="572"/>
      <c r="C277" s="95">
        <v>2286.1999999999998</v>
      </c>
      <c r="D277" s="95">
        <v>3</v>
      </c>
      <c r="E277" s="95">
        <v>53.7</v>
      </c>
      <c r="F277" s="95">
        <v>34.799999999999997</v>
      </c>
      <c r="G277" s="95">
        <v>69.7</v>
      </c>
    </row>
    <row r="278" spans="1:7" s="94" customFormat="1" ht="13">
      <c r="A278" s="570" t="s">
        <v>346</v>
      </c>
      <c r="B278" s="572"/>
      <c r="C278" s="95">
        <v>2286.9</v>
      </c>
      <c r="D278" s="95">
        <v>3</v>
      </c>
      <c r="E278" s="95">
        <v>53.9</v>
      </c>
      <c r="F278" s="95">
        <v>34.700000000000003</v>
      </c>
      <c r="G278" s="95">
        <v>70.099999999999994</v>
      </c>
    </row>
    <row r="279" spans="1:7" s="94" customFormat="1" ht="13">
      <c r="A279" s="570" t="s">
        <v>347</v>
      </c>
      <c r="B279" s="572"/>
      <c r="C279" s="95">
        <v>2289.8000000000002</v>
      </c>
      <c r="D279" s="95">
        <v>2.9</v>
      </c>
      <c r="E279" s="95">
        <v>54</v>
      </c>
      <c r="F279" s="95">
        <v>35</v>
      </c>
      <c r="G279" s="95">
        <v>70.099999999999994</v>
      </c>
    </row>
    <row r="280" spans="1:7" s="94" customFormat="1" ht="13">
      <c r="A280" s="570" t="s">
        <v>348</v>
      </c>
      <c r="B280" s="572"/>
      <c r="C280" s="95">
        <v>2293.3000000000002</v>
      </c>
      <c r="D280" s="95">
        <v>2.9</v>
      </c>
      <c r="E280" s="95">
        <v>53.9</v>
      </c>
      <c r="F280" s="95">
        <v>34.9</v>
      </c>
      <c r="G280" s="95">
        <v>70.099999999999994</v>
      </c>
    </row>
    <row r="281" spans="1:7" s="94" customFormat="1" ht="13">
      <c r="A281" s="570" t="s">
        <v>349</v>
      </c>
      <c r="B281" s="572"/>
      <c r="C281" s="95">
        <v>2300</v>
      </c>
      <c r="D281" s="95">
        <v>2.9</v>
      </c>
      <c r="E281" s="95">
        <v>53.4</v>
      </c>
      <c r="F281" s="95">
        <v>34.5</v>
      </c>
      <c r="G281" s="95">
        <v>69.599999999999994</v>
      </c>
    </row>
    <row r="282" spans="1:7" s="94" customFormat="1" ht="13">
      <c r="A282" s="570" t="s">
        <v>350</v>
      </c>
      <c r="B282" s="572"/>
      <c r="C282" s="95">
        <v>2305.6999999999998</v>
      </c>
      <c r="D282" s="95">
        <v>2.9</v>
      </c>
      <c r="E282" s="95">
        <v>53.2</v>
      </c>
      <c r="F282" s="95">
        <v>34.200000000000003</v>
      </c>
      <c r="G282" s="95">
        <v>69.599999999999994</v>
      </c>
    </row>
    <row r="283" spans="1:7" s="94" customFormat="1" ht="13">
      <c r="A283" s="570" t="s">
        <v>351</v>
      </c>
      <c r="B283" s="572"/>
      <c r="C283" s="95">
        <v>2308.6</v>
      </c>
      <c r="D283" s="95">
        <v>2.9</v>
      </c>
      <c r="E283" s="95">
        <v>53.2</v>
      </c>
      <c r="F283" s="95">
        <v>34.1</v>
      </c>
      <c r="G283" s="95">
        <v>69.8</v>
      </c>
    </row>
    <row r="284" spans="1:7" s="94" customFormat="1" ht="13">
      <c r="A284" s="570" t="s">
        <v>352</v>
      </c>
      <c r="B284" s="572"/>
      <c r="C284" s="95">
        <v>2307.6999999999998</v>
      </c>
      <c r="D284" s="95">
        <v>2.9</v>
      </c>
      <c r="E284" s="95">
        <v>53</v>
      </c>
      <c r="F284" s="95">
        <v>34.200000000000003</v>
      </c>
      <c r="G284" s="95">
        <v>69.400000000000006</v>
      </c>
    </row>
    <row r="285" spans="1:7" s="94" customFormat="1" ht="13">
      <c r="A285" s="570" t="s">
        <v>353</v>
      </c>
      <c r="B285" s="572"/>
      <c r="C285" s="95">
        <v>2309.6999999999998</v>
      </c>
      <c r="D285" s="95">
        <v>2.9</v>
      </c>
      <c r="E285" s="95">
        <v>53</v>
      </c>
      <c r="F285" s="95">
        <v>34.200000000000003</v>
      </c>
      <c r="G285" s="95">
        <v>69.400000000000006</v>
      </c>
    </row>
    <row r="286" spans="1:7" s="94" customFormat="1" ht="13">
      <c r="A286" s="570" t="s">
        <v>354</v>
      </c>
      <c r="B286" s="572"/>
      <c r="C286" s="95">
        <v>2309.6</v>
      </c>
      <c r="D286" s="95">
        <v>2.9</v>
      </c>
      <c r="E286" s="95">
        <v>53.2</v>
      </c>
      <c r="F286" s="95">
        <v>34.4</v>
      </c>
      <c r="G286" s="95">
        <v>69.5</v>
      </c>
    </row>
    <row r="287" spans="1:7" s="94" customFormat="1" ht="13">
      <c r="A287" s="570" t="s">
        <v>355</v>
      </c>
      <c r="B287" s="572"/>
      <c r="C287" s="95">
        <v>2312.4</v>
      </c>
      <c r="D287" s="95">
        <v>2.9</v>
      </c>
      <c r="E287" s="95">
        <v>53.2</v>
      </c>
      <c r="F287" s="95">
        <v>34.200000000000003</v>
      </c>
      <c r="G287" s="95">
        <v>69.7</v>
      </c>
    </row>
    <row r="288" spans="1:7" s="94" customFormat="1" ht="13">
      <c r="A288" s="570" t="s">
        <v>356</v>
      </c>
      <c r="B288" s="572"/>
      <c r="C288" s="95">
        <v>2313.6999999999998</v>
      </c>
      <c r="D288" s="95">
        <v>2.9</v>
      </c>
      <c r="E288" s="95">
        <v>53.3</v>
      </c>
      <c r="F288" s="95">
        <v>34.4</v>
      </c>
      <c r="G288" s="95">
        <v>69.7</v>
      </c>
    </row>
    <row r="289" spans="1:7" s="94" customFormat="1" ht="13">
      <c r="A289" s="570" t="s">
        <v>357</v>
      </c>
      <c r="B289" s="572"/>
      <c r="C289" s="95">
        <v>2315.6</v>
      </c>
      <c r="D289" s="95">
        <v>2.9</v>
      </c>
      <c r="E289" s="95">
        <v>53.2</v>
      </c>
      <c r="F289" s="95">
        <v>34.5</v>
      </c>
      <c r="G289" s="95">
        <v>69.5</v>
      </c>
    </row>
    <row r="290" spans="1:7" s="94" customFormat="1" ht="13">
      <c r="A290" s="570" t="s">
        <v>358</v>
      </c>
      <c r="B290" s="572"/>
      <c r="C290" s="95">
        <v>2316.4</v>
      </c>
      <c r="D290" s="95">
        <v>2.9</v>
      </c>
      <c r="E290" s="95">
        <v>53.2</v>
      </c>
      <c r="F290" s="95">
        <v>34.6</v>
      </c>
      <c r="G290" s="95">
        <v>69.3</v>
      </c>
    </row>
    <row r="291" spans="1:7" s="94" customFormat="1" ht="13">
      <c r="A291" s="570" t="s">
        <v>359</v>
      </c>
      <c r="B291" s="572"/>
      <c r="C291" s="95">
        <v>2317.5</v>
      </c>
      <c r="D291" s="95">
        <v>2.9</v>
      </c>
      <c r="E291" s="95">
        <v>52.9</v>
      </c>
      <c r="F291" s="95">
        <v>34.4</v>
      </c>
      <c r="G291" s="95">
        <v>68.900000000000006</v>
      </c>
    </row>
    <row r="292" spans="1:7" s="94" customFormat="1" ht="13">
      <c r="A292" s="570" t="s">
        <v>360</v>
      </c>
      <c r="B292" s="572"/>
      <c r="C292" s="95">
        <v>2321.4</v>
      </c>
      <c r="D292" s="95">
        <v>2.9</v>
      </c>
      <c r="E292" s="95">
        <v>52.7</v>
      </c>
      <c r="F292" s="95">
        <v>34.200000000000003</v>
      </c>
      <c r="G292" s="95">
        <v>68.8</v>
      </c>
    </row>
    <row r="293" spans="1:7" s="94" customFormat="1" ht="13">
      <c r="A293" s="570" t="s">
        <v>361</v>
      </c>
      <c r="B293" s="572"/>
      <c r="C293" s="95">
        <v>2326.3000000000002</v>
      </c>
      <c r="D293" s="95">
        <v>2.9</v>
      </c>
      <c r="E293" s="95">
        <v>52.9</v>
      </c>
      <c r="F293" s="95">
        <v>34.4</v>
      </c>
      <c r="G293" s="95">
        <v>69.099999999999994</v>
      </c>
    </row>
    <row r="294" spans="1:7" s="94" customFormat="1" ht="13">
      <c r="A294" s="570" t="s">
        <v>362</v>
      </c>
      <c r="B294" s="572"/>
      <c r="C294" s="95">
        <v>2331.1999999999998</v>
      </c>
      <c r="D294" s="95">
        <v>2.9</v>
      </c>
      <c r="E294" s="95">
        <v>53</v>
      </c>
      <c r="F294" s="95">
        <v>34.1</v>
      </c>
      <c r="G294" s="95">
        <v>69.400000000000006</v>
      </c>
    </row>
    <row r="295" spans="1:7" s="94" customFormat="1" ht="13">
      <c r="A295" s="570" t="s">
        <v>363</v>
      </c>
      <c r="B295" s="572"/>
      <c r="C295" s="95">
        <v>2333.6</v>
      </c>
      <c r="D295" s="95">
        <v>2.9</v>
      </c>
      <c r="E295" s="95">
        <v>53.2</v>
      </c>
      <c r="F295" s="95">
        <v>33.9</v>
      </c>
      <c r="G295" s="95">
        <v>70</v>
      </c>
    </row>
    <row r="296" spans="1:7" s="94" customFormat="1" ht="13">
      <c r="A296" s="570" t="s">
        <v>364</v>
      </c>
      <c r="B296" s="572"/>
      <c r="C296" s="95">
        <v>2331.8000000000002</v>
      </c>
      <c r="D296" s="95">
        <v>2.9</v>
      </c>
      <c r="E296" s="95">
        <v>53</v>
      </c>
      <c r="F296" s="95">
        <v>33.5</v>
      </c>
      <c r="G296" s="95">
        <v>70</v>
      </c>
    </row>
    <row r="297" spans="1:7" s="94" customFormat="1" ht="13">
      <c r="A297" s="570" t="s">
        <v>365</v>
      </c>
      <c r="B297" s="572"/>
      <c r="C297" s="95">
        <v>2329.6</v>
      </c>
      <c r="D297" s="95">
        <v>2.9</v>
      </c>
      <c r="E297" s="95">
        <v>53.1</v>
      </c>
      <c r="F297" s="95">
        <v>33.5</v>
      </c>
      <c r="G297" s="95">
        <v>70.099999999999994</v>
      </c>
    </row>
    <row r="298" spans="1:7" s="94" customFormat="1" ht="13">
      <c r="A298" s="570" t="s">
        <v>366</v>
      </c>
      <c r="B298" s="572"/>
      <c r="C298" s="95">
        <v>2332.9</v>
      </c>
      <c r="D298" s="95">
        <v>2.9</v>
      </c>
      <c r="E298" s="95">
        <v>52.8</v>
      </c>
      <c r="F298" s="95">
        <v>33.6</v>
      </c>
      <c r="G298" s="95">
        <v>69.599999999999994</v>
      </c>
    </row>
    <row r="299" spans="1:7" s="94" customFormat="1" ht="13">
      <c r="A299" s="570" t="s">
        <v>367</v>
      </c>
      <c r="B299" s="572"/>
      <c r="C299" s="95">
        <v>2338.4</v>
      </c>
      <c r="D299" s="95">
        <v>2.9</v>
      </c>
      <c r="E299" s="95">
        <v>53</v>
      </c>
      <c r="F299" s="95">
        <v>33.299999999999997</v>
      </c>
      <c r="G299" s="95">
        <v>70.2</v>
      </c>
    </row>
    <row r="300" spans="1:7" s="94" customFormat="1" ht="13">
      <c r="A300" s="570" t="s">
        <v>368</v>
      </c>
      <c r="B300" s="572"/>
      <c r="C300" s="95">
        <v>2340.6</v>
      </c>
      <c r="D300" s="95">
        <v>2.9</v>
      </c>
      <c r="E300" s="95">
        <v>53</v>
      </c>
      <c r="F300" s="95">
        <v>33.299999999999997</v>
      </c>
      <c r="G300" s="95">
        <v>70.3</v>
      </c>
    </row>
    <row r="301" spans="1:7" s="94" customFormat="1" ht="13">
      <c r="A301" s="570" t="s">
        <v>369</v>
      </c>
      <c r="B301" s="572"/>
      <c r="C301" s="95">
        <v>2342.6999999999998</v>
      </c>
      <c r="D301" s="95">
        <v>2.9</v>
      </c>
      <c r="E301" s="95">
        <v>53</v>
      </c>
      <c r="F301" s="95">
        <v>33.4</v>
      </c>
      <c r="G301" s="95">
        <v>70.3</v>
      </c>
    </row>
    <row r="302" spans="1:7" s="94" customFormat="1" ht="13">
      <c r="A302" s="570" t="s">
        <v>370</v>
      </c>
      <c r="B302" s="572"/>
      <c r="C302" s="95">
        <v>2343.4</v>
      </c>
      <c r="D302" s="95">
        <v>2.9</v>
      </c>
      <c r="E302" s="95">
        <v>53</v>
      </c>
      <c r="F302" s="95">
        <v>33.700000000000003</v>
      </c>
      <c r="G302" s="95">
        <v>69.900000000000006</v>
      </c>
    </row>
    <row r="303" spans="1:7" s="94" customFormat="1" ht="13">
      <c r="A303" s="570" t="s">
        <v>371</v>
      </c>
      <c r="B303" s="572"/>
      <c r="C303" s="95">
        <v>2348.4</v>
      </c>
      <c r="D303" s="95">
        <v>2.9</v>
      </c>
      <c r="E303" s="95">
        <v>52.8</v>
      </c>
      <c r="F303" s="95">
        <v>33.700000000000003</v>
      </c>
      <c r="G303" s="95">
        <v>69.7</v>
      </c>
    </row>
    <row r="304" spans="1:7" s="94" customFormat="1" ht="13">
      <c r="A304" s="570" t="s">
        <v>372</v>
      </c>
      <c r="B304" s="572"/>
      <c r="C304" s="95">
        <v>2352.6999999999998</v>
      </c>
      <c r="D304" s="95">
        <v>2.9</v>
      </c>
      <c r="E304" s="95">
        <v>52.8</v>
      </c>
      <c r="F304" s="95">
        <v>33.5</v>
      </c>
      <c r="G304" s="95">
        <v>70</v>
      </c>
    </row>
    <row r="305" spans="1:7" s="94" customFormat="1" ht="13">
      <c r="A305" s="570" t="s">
        <v>373</v>
      </c>
      <c r="B305" s="572"/>
      <c r="C305" s="95">
        <v>2359.8000000000002</v>
      </c>
      <c r="D305" s="95">
        <v>2.9</v>
      </c>
      <c r="E305" s="95">
        <v>52.8</v>
      </c>
      <c r="F305" s="95">
        <v>33.700000000000003</v>
      </c>
      <c r="G305" s="95">
        <v>69.900000000000006</v>
      </c>
    </row>
    <row r="306" spans="1:7" s="94" customFormat="1" ht="13">
      <c r="A306" s="570" t="s">
        <v>374</v>
      </c>
      <c r="B306" s="572"/>
      <c r="C306" s="95">
        <v>2366.5</v>
      </c>
      <c r="D306" s="95">
        <v>2.9</v>
      </c>
      <c r="E306" s="95">
        <v>53</v>
      </c>
      <c r="F306" s="95">
        <v>33.700000000000003</v>
      </c>
      <c r="G306" s="95">
        <v>70.099999999999994</v>
      </c>
    </row>
    <row r="307" spans="1:7" s="94" customFormat="1" ht="13">
      <c r="A307" s="570" t="s">
        <v>375</v>
      </c>
      <c r="B307" s="572"/>
      <c r="C307" s="95">
        <v>2366.4</v>
      </c>
      <c r="D307" s="95">
        <v>2.9</v>
      </c>
      <c r="E307" s="95">
        <v>52.8</v>
      </c>
      <c r="F307" s="95">
        <v>33.700000000000003</v>
      </c>
      <c r="G307" s="95">
        <v>69.900000000000006</v>
      </c>
    </row>
    <row r="308" spans="1:7" s="94" customFormat="1" ht="13">
      <c r="A308" s="570" t="s">
        <v>376</v>
      </c>
      <c r="B308" s="572"/>
      <c r="C308" s="95">
        <v>2366.6</v>
      </c>
      <c r="D308" s="95">
        <v>2.9</v>
      </c>
      <c r="E308" s="95">
        <v>53.1</v>
      </c>
      <c r="F308" s="95">
        <v>33.700000000000003</v>
      </c>
      <c r="G308" s="95">
        <v>70.400000000000006</v>
      </c>
    </row>
    <row r="309" spans="1:7" s="94" customFormat="1" ht="13">
      <c r="A309" s="570" t="s">
        <v>377</v>
      </c>
      <c r="B309" s="572"/>
      <c r="C309" s="95">
        <v>2364.1</v>
      </c>
      <c r="D309" s="95">
        <v>2.9</v>
      </c>
      <c r="E309" s="95">
        <v>52.9</v>
      </c>
      <c r="F309" s="95">
        <v>33.700000000000003</v>
      </c>
      <c r="G309" s="95">
        <v>70.099999999999994</v>
      </c>
    </row>
    <row r="310" spans="1:7" s="94" customFormat="1" ht="13">
      <c r="A310" s="570" t="s">
        <v>378</v>
      </c>
      <c r="B310" s="572"/>
      <c r="C310" s="95">
        <v>2362.6999999999998</v>
      </c>
      <c r="D310" s="95">
        <v>2.9</v>
      </c>
      <c r="E310" s="95">
        <v>53.1</v>
      </c>
      <c r="F310" s="95">
        <v>34</v>
      </c>
      <c r="G310" s="95">
        <v>70.3</v>
      </c>
    </row>
    <row r="311" spans="1:7" s="94" customFormat="1" ht="13">
      <c r="A311" s="570" t="s">
        <v>379</v>
      </c>
      <c r="B311" s="572"/>
      <c r="C311" s="95">
        <v>2364.6999999999998</v>
      </c>
      <c r="D311" s="95">
        <v>2.9</v>
      </c>
      <c r="E311" s="95">
        <v>52.8</v>
      </c>
      <c r="F311" s="95">
        <v>34</v>
      </c>
      <c r="G311" s="95">
        <v>69.7</v>
      </c>
    </row>
    <row r="312" spans="1:7" s="94" customFormat="1" ht="13">
      <c r="A312" s="570" t="s">
        <v>380</v>
      </c>
      <c r="B312" s="572"/>
      <c r="C312" s="95">
        <v>2368.1</v>
      </c>
      <c r="D312" s="95">
        <v>2.9</v>
      </c>
      <c r="E312" s="95">
        <v>52.6</v>
      </c>
      <c r="F312" s="95">
        <v>33.799999999999997</v>
      </c>
      <c r="G312" s="95">
        <v>69.599999999999994</v>
      </c>
    </row>
    <row r="313" spans="1:7" s="94" customFormat="1" ht="13">
      <c r="A313" s="570" t="s">
        <v>381</v>
      </c>
      <c r="B313" s="572"/>
      <c r="C313" s="95">
        <v>2369.5</v>
      </c>
      <c r="D313" s="95">
        <v>2.9</v>
      </c>
      <c r="E313" s="95">
        <v>52.5</v>
      </c>
      <c r="F313" s="95">
        <v>33.6</v>
      </c>
      <c r="G313" s="95">
        <v>69.400000000000006</v>
      </c>
    </row>
    <row r="314" spans="1:7" s="94" customFormat="1" ht="13">
      <c r="A314" s="570" t="s">
        <v>382</v>
      </c>
      <c r="B314" s="572"/>
      <c r="C314" s="95">
        <v>2371.6</v>
      </c>
      <c r="D314" s="95">
        <v>2.9</v>
      </c>
      <c r="E314" s="95">
        <v>52.5</v>
      </c>
      <c r="F314" s="95">
        <v>33.799999999999997</v>
      </c>
      <c r="G314" s="95">
        <v>69.2</v>
      </c>
    </row>
    <row r="315" spans="1:7" s="94" customFormat="1" ht="13">
      <c r="A315" s="570" t="s">
        <v>383</v>
      </c>
      <c r="B315" s="572"/>
      <c r="C315" s="95">
        <v>2373.5</v>
      </c>
      <c r="D315" s="95">
        <v>2.9</v>
      </c>
      <c r="E315" s="95">
        <v>52.5</v>
      </c>
      <c r="F315" s="95">
        <v>33.799999999999997</v>
      </c>
      <c r="G315" s="95">
        <v>69.2</v>
      </c>
    </row>
    <row r="316" spans="1:7" s="94" customFormat="1" ht="13">
      <c r="A316" s="570" t="s">
        <v>384</v>
      </c>
      <c r="B316" s="572"/>
      <c r="C316" s="95">
        <v>2381.6</v>
      </c>
      <c r="D316" s="95">
        <v>2.9</v>
      </c>
      <c r="E316" s="95">
        <v>52.1</v>
      </c>
      <c r="F316" s="95">
        <v>33.700000000000003</v>
      </c>
      <c r="G316" s="95">
        <v>68.400000000000006</v>
      </c>
    </row>
    <row r="317" spans="1:7" s="94" customFormat="1" ht="13">
      <c r="A317" s="570" t="s">
        <v>385</v>
      </c>
      <c r="B317" s="572"/>
      <c r="C317" s="95">
        <v>2387.4</v>
      </c>
      <c r="D317" s="95">
        <v>2.9</v>
      </c>
      <c r="E317" s="95">
        <v>51.9</v>
      </c>
      <c r="F317" s="95">
        <v>33.4</v>
      </c>
      <c r="G317" s="95">
        <v>68.099999999999994</v>
      </c>
    </row>
    <row r="318" spans="1:7" s="94" customFormat="1" ht="13">
      <c r="A318" s="570" t="s">
        <v>386</v>
      </c>
      <c r="B318" s="572"/>
      <c r="C318" s="95">
        <v>2393.1999999999998</v>
      </c>
      <c r="D318" s="95">
        <v>2.9</v>
      </c>
      <c r="E318" s="95">
        <v>51.7</v>
      </c>
      <c r="F318" s="95">
        <v>33.4</v>
      </c>
      <c r="G318" s="95">
        <v>67.7</v>
      </c>
    </row>
    <row r="319" spans="1:7" s="94" customFormat="1" ht="13">
      <c r="A319" s="570" t="s">
        <v>387</v>
      </c>
      <c r="B319" s="572"/>
      <c r="C319" s="95">
        <v>2393.4</v>
      </c>
      <c r="D319" s="95">
        <v>2.9</v>
      </c>
      <c r="E319" s="95">
        <v>51.6</v>
      </c>
      <c r="F319" s="95">
        <v>33.200000000000003</v>
      </c>
      <c r="G319" s="95">
        <v>67.7</v>
      </c>
    </row>
    <row r="320" spans="1:7" s="94" customFormat="1" ht="13">
      <c r="A320" s="570" t="s">
        <v>388</v>
      </c>
      <c r="B320" s="572"/>
      <c r="C320" s="95">
        <v>2390.6</v>
      </c>
      <c r="D320" s="95">
        <v>2.9</v>
      </c>
      <c r="E320" s="95">
        <v>51.4</v>
      </c>
      <c r="F320" s="95">
        <v>33.1</v>
      </c>
      <c r="G320" s="95">
        <v>67.599999999999994</v>
      </c>
    </row>
    <row r="321" spans="1:7" s="94" customFormat="1" ht="13">
      <c r="A321" s="570" t="s">
        <v>389</v>
      </c>
      <c r="B321" s="572"/>
      <c r="C321" s="95">
        <v>2388.1999999999998</v>
      </c>
      <c r="D321" s="95">
        <v>2.9</v>
      </c>
      <c r="E321" s="95">
        <v>51.5</v>
      </c>
      <c r="F321" s="95">
        <v>33.299999999999997</v>
      </c>
      <c r="G321" s="95">
        <v>67.599999999999994</v>
      </c>
    </row>
    <row r="322" spans="1:7" s="94" customFormat="1" ht="13">
      <c r="A322" s="570" t="s">
        <v>390</v>
      </c>
      <c r="B322" s="572"/>
      <c r="C322" s="95">
        <v>2387.6999999999998</v>
      </c>
      <c r="D322" s="95">
        <v>2.9</v>
      </c>
      <c r="E322" s="95">
        <v>51.9</v>
      </c>
      <c r="F322" s="95">
        <v>33.5</v>
      </c>
      <c r="G322" s="95">
        <v>68</v>
      </c>
    </row>
    <row r="323" spans="1:7" s="94" customFormat="1" ht="13">
      <c r="A323" s="570" t="s">
        <v>391</v>
      </c>
      <c r="B323" s="572"/>
      <c r="C323" s="95">
        <v>2386.5</v>
      </c>
      <c r="D323" s="95">
        <v>2.9</v>
      </c>
      <c r="E323" s="95">
        <v>51.7</v>
      </c>
      <c r="F323" s="95">
        <v>33.5</v>
      </c>
      <c r="G323" s="95">
        <v>67.5</v>
      </c>
    </row>
    <row r="324" spans="1:7" s="94" customFormat="1" ht="13">
      <c r="A324" s="570" t="s">
        <v>392</v>
      </c>
      <c r="B324" s="572"/>
      <c r="C324" s="95">
        <v>2388</v>
      </c>
      <c r="D324" s="95">
        <v>2.9</v>
      </c>
      <c r="E324" s="95">
        <v>51.6</v>
      </c>
      <c r="F324" s="95">
        <v>33.5</v>
      </c>
      <c r="G324" s="95">
        <v>67</v>
      </c>
    </row>
    <row r="325" spans="1:7" s="94" customFormat="1" ht="13">
      <c r="A325" s="570" t="s">
        <v>393</v>
      </c>
      <c r="B325" s="572"/>
      <c r="C325" s="95">
        <v>2389.4</v>
      </c>
      <c r="D325" s="95">
        <v>2.9</v>
      </c>
      <c r="E325" s="95">
        <v>51.5</v>
      </c>
      <c r="F325" s="95">
        <v>33.6</v>
      </c>
      <c r="G325" s="95">
        <v>66.7</v>
      </c>
    </row>
    <row r="326" spans="1:7" s="94" customFormat="1" ht="13">
      <c r="A326" s="570" t="s">
        <v>394</v>
      </c>
      <c r="B326" s="572"/>
      <c r="C326" s="95">
        <v>2393.5</v>
      </c>
      <c r="D326" s="95">
        <v>2.9</v>
      </c>
      <c r="E326" s="95">
        <v>51.8</v>
      </c>
      <c r="F326" s="95">
        <v>33.6</v>
      </c>
      <c r="G326" s="95">
        <v>67.099999999999994</v>
      </c>
    </row>
    <row r="327" spans="1:7" s="94" customFormat="1" ht="13">
      <c r="A327" s="570" t="s">
        <v>395</v>
      </c>
      <c r="B327" s="572"/>
      <c r="C327" s="95">
        <v>2397.3000000000002</v>
      </c>
      <c r="D327" s="95">
        <v>2.9</v>
      </c>
      <c r="E327" s="95">
        <v>51.5</v>
      </c>
      <c r="F327" s="95">
        <v>33.6</v>
      </c>
      <c r="G327" s="95">
        <v>66.8</v>
      </c>
    </row>
    <row r="328" spans="1:7" s="94" customFormat="1" ht="13">
      <c r="A328" s="570" t="s">
        <v>396</v>
      </c>
      <c r="B328" s="572"/>
      <c r="C328" s="95">
        <v>2405</v>
      </c>
      <c r="D328" s="95">
        <v>2.9</v>
      </c>
      <c r="E328" s="95">
        <v>51.3</v>
      </c>
      <c r="F328" s="95">
        <v>33.4</v>
      </c>
      <c r="G328" s="95">
        <v>66.599999999999994</v>
      </c>
    </row>
    <row r="329" spans="1:7" s="94" customFormat="1" ht="13">
      <c r="A329" s="570" t="s">
        <v>397</v>
      </c>
      <c r="B329" s="572"/>
      <c r="C329" s="95">
        <v>2413.9</v>
      </c>
      <c r="D329" s="95">
        <v>2.9</v>
      </c>
      <c r="E329" s="95">
        <v>51.1</v>
      </c>
      <c r="F329" s="95">
        <v>33.1</v>
      </c>
      <c r="G329" s="95">
        <v>66.599999999999994</v>
      </c>
    </row>
    <row r="330" spans="1:7" s="94" customFormat="1" ht="13">
      <c r="A330" s="570" t="s">
        <v>398</v>
      </c>
      <c r="B330" s="572"/>
      <c r="C330" s="95">
        <v>2423.6</v>
      </c>
      <c r="D330" s="95">
        <v>2.9</v>
      </c>
      <c r="E330" s="95">
        <v>51.1</v>
      </c>
      <c r="F330" s="95">
        <v>32.9</v>
      </c>
      <c r="G330" s="95">
        <v>66.7</v>
      </c>
    </row>
    <row r="331" spans="1:7" s="94" customFormat="1" ht="13">
      <c r="A331" s="570" t="s">
        <v>399</v>
      </c>
      <c r="B331" s="572"/>
      <c r="C331" s="95">
        <v>2423.8000000000002</v>
      </c>
      <c r="D331" s="95">
        <v>2.9</v>
      </c>
      <c r="E331" s="95">
        <v>50.9</v>
      </c>
      <c r="F331" s="95">
        <v>32.9</v>
      </c>
      <c r="G331" s="95">
        <v>66.400000000000006</v>
      </c>
    </row>
    <row r="332" spans="1:7" s="94" customFormat="1" ht="13">
      <c r="A332" s="570" t="s">
        <v>400</v>
      </c>
      <c r="B332" s="572"/>
      <c r="C332" s="95">
        <v>2421.5</v>
      </c>
      <c r="D332" s="95">
        <v>2.9</v>
      </c>
      <c r="E332" s="95">
        <v>50.9</v>
      </c>
      <c r="F332" s="95">
        <v>33</v>
      </c>
      <c r="G332" s="95">
        <v>66.400000000000006</v>
      </c>
    </row>
    <row r="333" spans="1:7" s="94" customFormat="1" ht="13">
      <c r="A333" s="570" t="s">
        <v>401</v>
      </c>
      <c r="B333" s="572"/>
      <c r="C333" s="95">
        <v>2420.6999999999998</v>
      </c>
      <c r="D333" s="95">
        <v>2.9</v>
      </c>
      <c r="E333" s="95">
        <v>50.8</v>
      </c>
      <c r="F333" s="95">
        <v>32.9</v>
      </c>
      <c r="G333" s="95">
        <v>66.3</v>
      </c>
    </row>
    <row r="334" spans="1:7" s="94" customFormat="1" ht="13">
      <c r="A334" s="570" t="s">
        <v>402</v>
      </c>
      <c r="B334" s="572"/>
      <c r="C334" s="95">
        <v>2420.8000000000002</v>
      </c>
      <c r="D334" s="95">
        <v>2.9</v>
      </c>
      <c r="E334" s="95">
        <v>50.9</v>
      </c>
      <c r="F334" s="95">
        <v>33</v>
      </c>
      <c r="G334" s="95">
        <v>66.3</v>
      </c>
    </row>
    <row r="335" spans="1:7" s="94" customFormat="1" ht="13">
      <c r="A335" s="570" t="s">
        <v>403</v>
      </c>
      <c r="B335" s="572"/>
      <c r="C335" s="95">
        <v>2421.5</v>
      </c>
      <c r="D335" s="95">
        <v>2.9</v>
      </c>
      <c r="E335" s="95">
        <v>51.1</v>
      </c>
      <c r="F335" s="95">
        <v>33.1</v>
      </c>
      <c r="G335" s="95">
        <v>66.5</v>
      </c>
    </row>
    <row r="336" spans="1:7" s="94" customFormat="1" ht="13">
      <c r="A336" s="570" t="s">
        <v>404</v>
      </c>
      <c r="B336" s="572"/>
      <c r="C336" s="95">
        <v>2419</v>
      </c>
      <c r="D336" s="95">
        <v>2.9</v>
      </c>
      <c r="E336" s="95">
        <v>51.3</v>
      </c>
      <c r="F336" s="95">
        <v>33.4</v>
      </c>
      <c r="G336" s="95">
        <v>66.5</v>
      </c>
    </row>
    <row r="337" spans="1:7" s="94" customFormat="1" ht="13">
      <c r="A337" s="570" t="s">
        <v>405</v>
      </c>
      <c r="B337" s="572"/>
      <c r="C337" s="95">
        <v>2421</v>
      </c>
      <c r="D337" s="95">
        <v>2.9</v>
      </c>
      <c r="E337" s="95">
        <v>51.2</v>
      </c>
      <c r="F337" s="95">
        <v>33.4</v>
      </c>
      <c r="G337" s="95">
        <v>66.400000000000006</v>
      </c>
    </row>
    <row r="338" spans="1:7" s="94" customFormat="1" ht="13">
      <c r="A338" s="570" t="s">
        <v>406</v>
      </c>
      <c r="B338" s="572"/>
      <c r="C338" s="95">
        <v>2423.5</v>
      </c>
      <c r="D338" s="95">
        <v>2.9</v>
      </c>
      <c r="E338" s="95">
        <v>50.8</v>
      </c>
      <c r="F338" s="95">
        <v>33.1</v>
      </c>
      <c r="G338" s="95">
        <v>66</v>
      </c>
    </row>
    <row r="339" spans="1:7" s="94" customFormat="1" ht="13">
      <c r="A339" s="570" t="s">
        <v>407</v>
      </c>
      <c r="B339" s="572"/>
      <c r="C339" s="95">
        <v>2427.6999999999998</v>
      </c>
      <c r="D339" s="95">
        <v>2.9</v>
      </c>
      <c r="E339" s="95">
        <v>50.7</v>
      </c>
      <c r="F339" s="95">
        <v>33</v>
      </c>
      <c r="G339" s="95">
        <v>66</v>
      </c>
    </row>
    <row r="340" spans="1:7" s="94" customFormat="1" ht="13">
      <c r="A340" s="570" t="s">
        <v>408</v>
      </c>
      <c r="B340" s="572"/>
      <c r="C340" s="95">
        <v>2432.6999999999998</v>
      </c>
      <c r="D340" s="95">
        <v>2.9</v>
      </c>
      <c r="E340" s="95">
        <v>50.7</v>
      </c>
      <c r="F340" s="95">
        <v>32.6</v>
      </c>
      <c r="G340" s="95">
        <v>66.400000000000006</v>
      </c>
    </row>
    <row r="341" spans="1:7" s="94" customFormat="1" ht="13">
      <c r="A341" s="570" t="s">
        <v>409</v>
      </c>
      <c r="B341" s="572"/>
      <c r="C341" s="95">
        <v>2436.1</v>
      </c>
      <c r="D341" s="95">
        <v>2.9</v>
      </c>
      <c r="E341" s="95">
        <v>50.6</v>
      </c>
      <c r="F341" s="95">
        <v>32.299999999999997</v>
      </c>
      <c r="G341" s="95">
        <v>66.400000000000006</v>
      </c>
    </row>
    <row r="342" spans="1:7" s="94" customFormat="1" ht="13">
      <c r="A342" s="570" t="s">
        <v>410</v>
      </c>
      <c r="B342" s="572"/>
      <c r="C342" s="95">
        <v>2441.9</v>
      </c>
      <c r="D342" s="95">
        <v>2.9</v>
      </c>
      <c r="E342" s="95">
        <v>50.4</v>
      </c>
      <c r="F342" s="95">
        <v>32.1</v>
      </c>
      <c r="G342" s="95">
        <v>66.3</v>
      </c>
    </row>
    <row r="343" spans="1:7" s="94" customFormat="1" ht="13">
      <c r="A343" s="570" t="s">
        <v>411</v>
      </c>
      <c r="B343" s="572"/>
      <c r="C343" s="95">
        <v>2440.5</v>
      </c>
      <c r="D343" s="95">
        <v>2.9</v>
      </c>
      <c r="E343" s="95">
        <v>50.3</v>
      </c>
      <c r="F343" s="95">
        <v>32.200000000000003</v>
      </c>
      <c r="G343" s="95">
        <v>66.099999999999994</v>
      </c>
    </row>
    <row r="344" spans="1:7" s="94" customFormat="1" ht="13">
      <c r="A344" s="570" t="s">
        <v>412</v>
      </c>
      <c r="B344" s="572"/>
      <c r="C344" s="95">
        <v>2440.1999999999998</v>
      </c>
      <c r="D344" s="95">
        <v>2.9</v>
      </c>
      <c r="E344" s="95">
        <v>50.3</v>
      </c>
      <c r="F344" s="95">
        <v>32.299999999999997</v>
      </c>
      <c r="G344" s="95">
        <v>66.099999999999994</v>
      </c>
    </row>
    <row r="345" spans="1:7" s="94" customFormat="1" ht="13">
      <c r="A345" s="570" t="s">
        <v>413</v>
      </c>
      <c r="B345" s="572"/>
      <c r="C345" s="95">
        <v>2439.1</v>
      </c>
      <c r="D345" s="95">
        <v>2.9</v>
      </c>
      <c r="E345" s="95">
        <v>50.2</v>
      </c>
      <c r="F345" s="95">
        <v>32.4</v>
      </c>
      <c r="G345" s="95">
        <v>65.7</v>
      </c>
    </row>
    <row r="346" spans="1:7" s="94" customFormat="1" ht="13">
      <c r="A346" s="570" t="s">
        <v>414</v>
      </c>
      <c r="B346" s="572"/>
      <c r="C346" s="95">
        <v>2441.8000000000002</v>
      </c>
      <c r="D346" s="95">
        <v>2.9</v>
      </c>
      <c r="E346" s="95">
        <v>50.4</v>
      </c>
      <c r="F346" s="95">
        <v>32.4</v>
      </c>
      <c r="G346" s="95">
        <v>66.2</v>
      </c>
    </row>
    <row r="347" spans="1:7" s="94" customFormat="1" ht="13">
      <c r="A347" s="570" t="s">
        <v>415</v>
      </c>
      <c r="B347" s="572"/>
      <c r="C347" s="95">
        <v>2445.1</v>
      </c>
      <c r="D347" s="95">
        <v>2.9</v>
      </c>
      <c r="E347" s="95">
        <v>50</v>
      </c>
      <c r="F347" s="95">
        <v>32.4</v>
      </c>
      <c r="G347" s="95">
        <v>65.3</v>
      </c>
    </row>
    <row r="348" spans="1:7" s="94" customFormat="1" ht="13">
      <c r="A348" s="570" t="s">
        <v>416</v>
      </c>
      <c r="B348" s="572"/>
      <c r="C348" s="95">
        <v>2448.6</v>
      </c>
      <c r="D348" s="95">
        <v>2.9</v>
      </c>
      <c r="E348" s="95">
        <v>50</v>
      </c>
      <c r="F348" s="95">
        <v>32.5</v>
      </c>
      <c r="G348" s="95">
        <v>65.2</v>
      </c>
    </row>
    <row r="349" spans="1:7" s="94" customFormat="1" ht="13">
      <c r="A349" s="570" t="s">
        <v>417</v>
      </c>
      <c r="B349" s="572"/>
      <c r="C349" s="95">
        <v>2451.6999999999998</v>
      </c>
      <c r="D349" s="95">
        <v>2.9</v>
      </c>
      <c r="E349" s="95">
        <v>50</v>
      </c>
      <c r="F349" s="95">
        <v>32.200000000000003</v>
      </c>
      <c r="G349" s="95">
        <v>65.5</v>
      </c>
    </row>
    <row r="350" spans="1:7" s="94" customFormat="1" ht="13">
      <c r="A350" s="570" t="s">
        <v>418</v>
      </c>
      <c r="B350" s="572"/>
      <c r="C350" s="95">
        <v>2454.6999999999998</v>
      </c>
      <c r="D350" s="95">
        <v>2.9</v>
      </c>
      <c r="E350" s="95">
        <v>50.1</v>
      </c>
      <c r="F350" s="95">
        <v>32.200000000000003</v>
      </c>
      <c r="G350" s="95">
        <v>65.599999999999994</v>
      </c>
    </row>
    <row r="351" spans="1:7" s="94" customFormat="1" ht="13">
      <c r="A351" s="570" t="s">
        <v>419</v>
      </c>
      <c r="B351" s="572"/>
      <c r="C351" s="95">
        <v>2457.6999999999998</v>
      </c>
      <c r="D351" s="95">
        <v>2.9</v>
      </c>
      <c r="E351" s="95">
        <v>50.5</v>
      </c>
      <c r="F351" s="95">
        <v>32.200000000000003</v>
      </c>
      <c r="G351" s="95">
        <v>66.3</v>
      </c>
    </row>
    <row r="352" spans="1:7" s="94" customFormat="1" ht="13">
      <c r="A352" s="570" t="s">
        <v>420</v>
      </c>
      <c r="B352" s="572"/>
      <c r="C352" s="95">
        <v>2466</v>
      </c>
      <c r="D352" s="95">
        <v>2.9</v>
      </c>
      <c r="E352" s="95">
        <v>50</v>
      </c>
      <c r="F352" s="95">
        <v>32.200000000000003</v>
      </c>
      <c r="G352" s="95">
        <v>65.5</v>
      </c>
    </row>
    <row r="353" spans="1:7" s="94" customFormat="1" ht="13">
      <c r="A353" s="570" t="s">
        <v>421</v>
      </c>
      <c r="B353" s="572"/>
      <c r="C353" s="95">
        <v>2476.5</v>
      </c>
      <c r="D353" s="95">
        <v>2.9</v>
      </c>
      <c r="E353" s="95">
        <v>50.3</v>
      </c>
      <c r="F353" s="95">
        <v>32.1</v>
      </c>
      <c r="G353" s="95">
        <v>66.099999999999994</v>
      </c>
    </row>
    <row r="354" spans="1:7" s="94" customFormat="1" ht="13">
      <c r="A354" s="570" t="s">
        <v>422</v>
      </c>
      <c r="B354" s="572"/>
      <c r="C354" s="95">
        <v>2486.9</v>
      </c>
      <c r="D354" s="95">
        <v>2.8</v>
      </c>
      <c r="E354" s="95">
        <v>50.1</v>
      </c>
      <c r="F354" s="95">
        <v>31.8</v>
      </c>
      <c r="G354" s="95">
        <v>66.099999999999994</v>
      </c>
    </row>
    <row r="355" spans="1:7" s="94" customFormat="1" ht="13">
      <c r="A355" s="570" t="s">
        <v>423</v>
      </c>
      <c r="B355" s="572"/>
      <c r="C355" s="95">
        <v>2486.1999999999998</v>
      </c>
      <c r="D355" s="95">
        <v>2.8</v>
      </c>
      <c r="E355" s="95">
        <v>50</v>
      </c>
      <c r="F355" s="95">
        <v>32</v>
      </c>
      <c r="G355" s="95">
        <v>65.7</v>
      </c>
    </row>
    <row r="356" spans="1:7" s="94" customFormat="1" ht="13">
      <c r="A356" s="570" t="s">
        <v>424</v>
      </c>
      <c r="B356" s="572"/>
      <c r="C356" s="95">
        <v>2485.1999999999998</v>
      </c>
      <c r="D356" s="95">
        <v>2.8</v>
      </c>
      <c r="E356" s="95">
        <v>49.7</v>
      </c>
      <c r="F356" s="95">
        <v>32.1</v>
      </c>
      <c r="G356" s="95">
        <v>65.099999999999994</v>
      </c>
    </row>
    <row r="357" spans="1:7" s="94" customFormat="1" ht="13">
      <c r="A357" s="570" t="s">
        <v>425</v>
      </c>
      <c r="B357" s="572"/>
      <c r="C357" s="95">
        <v>2482.1999999999998</v>
      </c>
      <c r="D357" s="95">
        <v>2.8</v>
      </c>
      <c r="E357" s="95">
        <v>49.8</v>
      </c>
      <c r="F357" s="95">
        <v>32.4</v>
      </c>
      <c r="G357" s="95">
        <v>65</v>
      </c>
    </row>
    <row r="358" spans="1:7" s="94" customFormat="1" ht="13">
      <c r="A358" s="570" t="s">
        <v>426</v>
      </c>
      <c r="B358" s="572"/>
      <c r="C358" s="95">
        <v>2484.9</v>
      </c>
      <c r="D358" s="95">
        <v>2.8</v>
      </c>
      <c r="E358" s="95">
        <v>50.1</v>
      </c>
      <c r="F358" s="95">
        <v>32.200000000000003</v>
      </c>
      <c r="G358" s="95">
        <v>65.8</v>
      </c>
    </row>
    <row r="359" spans="1:7" s="94" customFormat="1" ht="13">
      <c r="A359" s="570" t="s">
        <v>427</v>
      </c>
      <c r="B359" s="572"/>
      <c r="C359" s="95">
        <v>2485.5</v>
      </c>
      <c r="D359" s="95">
        <v>2.8</v>
      </c>
      <c r="E359" s="95">
        <v>49.8</v>
      </c>
      <c r="F359" s="95">
        <v>32.200000000000003</v>
      </c>
      <c r="G359" s="95">
        <v>65.3</v>
      </c>
    </row>
    <row r="360" spans="1:7" s="94" customFormat="1" ht="13">
      <c r="A360" s="570" t="s">
        <v>428</v>
      </c>
      <c r="B360" s="572"/>
      <c r="C360" s="95">
        <v>2488</v>
      </c>
      <c r="D360" s="95">
        <v>2.8</v>
      </c>
      <c r="E360" s="95">
        <v>49.8</v>
      </c>
      <c r="F360" s="95">
        <v>32.1</v>
      </c>
      <c r="G360" s="95">
        <v>65.3</v>
      </c>
    </row>
    <row r="361" spans="1:7" s="94" customFormat="1" ht="13">
      <c r="A361" s="570" t="s">
        <v>429</v>
      </c>
      <c r="B361" s="572"/>
      <c r="C361" s="95">
        <v>2485.8000000000002</v>
      </c>
      <c r="D361" s="95">
        <v>2.8</v>
      </c>
      <c r="E361" s="95">
        <v>50.1</v>
      </c>
      <c r="F361" s="95">
        <v>32.299999999999997</v>
      </c>
      <c r="G361" s="95">
        <v>65.7</v>
      </c>
    </row>
    <row r="362" spans="1:7" s="94" customFormat="1" ht="13">
      <c r="A362" s="570" t="s">
        <v>430</v>
      </c>
      <c r="B362" s="572"/>
      <c r="C362" s="95">
        <v>2485.6</v>
      </c>
      <c r="D362" s="95">
        <v>2.8</v>
      </c>
      <c r="E362" s="95">
        <v>50.3</v>
      </c>
      <c r="F362" s="95">
        <v>32.200000000000003</v>
      </c>
      <c r="G362" s="95">
        <v>66.099999999999994</v>
      </c>
    </row>
    <row r="363" spans="1:7" s="94" customFormat="1" ht="13">
      <c r="A363" s="570" t="s">
        <v>431</v>
      </c>
      <c r="B363" s="572"/>
      <c r="C363" s="95">
        <v>2488.3000000000002</v>
      </c>
      <c r="D363" s="95">
        <v>2.8</v>
      </c>
      <c r="E363" s="95">
        <v>50.5</v>
      </c>
      <c r="F363" s="95">
        <v>32</v>
      </c>
      <c r="G363" s="95">
        <v>66.3</v>
      </c>
    </row>
    <row r="364" spans="1:7" s="94" customFormat="1" ht="13">
      <c r="A364" s="570" t="s">
        <v>432</v>
      </c>
      <c r="B364" s="572"/>
      <c r="C364" s="95">
        <v>2498.4</v>
      </c>
      <c r="D364" s="95">
        <v>2.8</v>
      </c>
      <c r="E364" s="95">
        <v>50.4</v>
      </c>
      <c r="F364" s="95">
        <v>31.9</v>
      </c>
      <c r="G364" s="95">
        <v>66.099999999999994</v>
      </c>
    </row>
    <row r="365" spans="1:7" s="94" customFormat="1" ht="13">
      <c r="A365" s="570" t="s">
        <v>433</v>
      </c>
      <c r="B365" s="572"/>
      <c r="C365" s="95">
        <v>2504.6</v>
      </c>
      <c r="D365" s="95">
        <v>2.8</v>
      </c>
      <c r="E365" s="95">
        <v>50.4</v>
      </c>
      <c r="F365" s="95">
        <v>32</v>
      </c>
      <c r="G365" s="95">
        <v>66</v>
      </c>
    </row>
    <row r="366" spans="1:7" s="94" customFormat="1" ht="13">
      <c r="A366" s="570" t="s">
        <v>434</v>
      </c>
      <c r="B366" s="572"/>
      <c r="C366" s="95">
        <v>2511.4</v>
      </c>
      <c r="D366" s="95">
        <v>2.8</v>
      </c>
      <c r="E366" s="95">
        <v>50.4</v>
      </c>
      <c r="F366" s="95">
        <v>32</v>
      </c>
      <c r="G366" s="95">
        <v>66</v>
      </c>
    </row>
    <row r="367" spans="1:7" s="94" customFormat="1" ht="13">
      <c r="A367" s="570" t="s">
        <v>435</v>
      </c>
      <c r="B367" s="572"/>
      <c r="C367" s="95">
        <v>2509.1</v>
      </c>
      <c r="D367" s="95">
        <v>2.8</v>
      </c>
      <c r="E367" s="95">
        <v>50.1</v>
      </c>
      <c r="F367" s="95">
        <v>31.9</v>
      </c>
      <c r="G367" s="95">
        <v>65.5</v>
      </c>
    </row>
    <row r="368" spans="1:7" s="94" customFormat="1" ht="13">
      <c r="A368" s="570" t="s">
        <v>436</v>
      </c>
      <c r="B368" s="572"/>
      <c r="C368" s="95">
        <v>2507</v>
      </c>
      <c r="D368" s="95">
        <v>2.8</v>
      </c>
      <c r="E368" s="95">
        <v>49.9</v>
      </c>
      <c r="F368" s="95">
        <v>31.8</v>
      </c>
      <c r="G368" s="95">
        <v>65.3</v>
      </c>
    </row>
    <row r="369" spans="1:7" s="94" customFormat="1" ht="13">
      <c r="A369" s="570" t="s">
        <v>437</v>
      </c>
      <c r="B369" s="572"/>
      <c r="C369" s="95">
        <v>2503.6999999999998</v>
      </c>
      <c r="D369" s="95">
        <v>2.8</v>
      </c>
      <c r="E369" s="95">
        <v>49.7</v>
      </c>
      <c r="F369" s="95">
        <v>31.9</v>
      </c>
      <c r="G369" s="95">
        <v>64.8</v>
      </c>
    </row>
    <row r="370" spans="1:7" s="94" customFormat="1" ht="13">
      <c r="A370" s="570" t="s">
        <v>438</v>
      </c>
      <c r="B370" s="572"/>
      <c r="C370" s="95">
        <v>2506.8000000000002</v>
      </c>
      <c r="D370" s="95">
        <v>2.8</v>
      </c>
      <c r="E370" s="95">
        <v>49.8</v>
      </c>
      <c r="F370" s="95">
        <v>31.7</v>
      </c>
      <c r="G370" s="95">
        <v>65.2</v>
      </c>
    </row>
    <row r="371" spans="1:7" s="94" customFormat="1" ht="13">
      <c r="A371" s="570" t="s">
        <v>439</v>
      </c>
      <c r="B371" s="572"/>
      <c r="C371" s="95">
        <v>2508.6</v>
      </c>
      <c r="D371" s="95">
        <v>2.8</v>
      </c>
      <c r="E371" s="95">
        <v>50</v>
      </c>
      <c r="F371" s="95">
        <v>31.9</v>
      </c>
      <c r="G371" s="95">
        <v>65.5</v>
      </c>
    </row>
    <row r="372" spans="1:7" s="94" customFormat="1" ht="13">
      <c r="A372" s="570" t="s">
        <v>440</v>
      </c>
      <c r="B372" s="572"/>
      <c r="C372" s="95">
        <v>2510</v>
      </c>
      <c r="D372" s="95">
        <v>2.8</v>
      </c>
      <c r="E372" s="95">
        <v>49.7</v>
      </c>
      <c r="F372" s="95">
        <v>31.9</v>
      </c>
      <c r="G372" s="95">
        <v>64.900000000000006</v>
      </c>
    </row>
    <row r="373" spans="1:7" s="94" customFormat="1" ht="13">
      <c r="A373" s="570" t="s">
        <v>441</v>
      </c>
      <c r="B373" s="572"/>
      <c r="C373" s="95">
        <v>2511.3000000000002</v>
      </c>
      <c r="D373" s="95">
        <v>2.8</v>
      </c>
      <c r="E373" s="95">
        <v>49.3</v>
      </c>
      <c r="F373" s="95">
        <v>32</v>
      </c>
      <c r="G373" s="95">
        <v>64.099999999999994</v>
      </c>
    </row>
    <row r="374" spans="1:7" s="94" customFormat="1" ht="13">
      <c r="A374" s="570" t="s">
        <v>442</v>
      </c>
      <c r="B374" s="572"/>
      <c r="C374" s="95">
        <v>2515.9</v>
      </c>
      <c r="D374" s="95">
        <v>2.8</v>
      </c>
      <c r="E374" s="95">
        <v>49.1</v>
      </c>
      <c r="F374" s="95">
        <v>31.9</v>
      </c>
      <c r="G374" s="95">
        <v>63.8</v>
      </c>
    </row>
    <row r="375" spans="1:7" s="94" customFormat="1" ht="13">
      <c r="A375" s="570" t="s">
        <v>443</v>
      </c>
      <c r="B375" s="572"/>
      <c r="C375" s="95">
        <v>2521.8000000000002</v>
      </c>
      <c r="D375" s="95">
        <v>2.8</v>
      </c>
      <c r="E375" s="95">
        <v>49</v>
      </c>
      <c r="F375" s="95">
        <v>31.9</v>
      </c>
      <c r="G375" s="95">
        <v>63.4</v>
      </c>
    </row>
    <row r="376" spans="1:7" s="94" customFormat="1" ht="13">
      <c r="A376" s="570" t="s">
        <v>444</v>
      </c>
      <c r="B376" s="572"/>
      <c r="C376" s="95">
        <v>2530.6</v>
      </c>
      <c r="D376" s="95">
        <v>2.8</v>
      </c>
      <c r="E376" s="95">
        <v>48.6</v>
      </c>
      <c r="F376" s="95">
        <v>32</v>
      </c>
      <c r="G376" s="95">
        <v>62.8</v>
      </c>
    </row>
    <row r="377" spans="1:7" s="94" customFormat="1" ht="13">
      <c r="A377" s="570" t="s">
        <v>445</v>
      </c>
      <c r="B377" s="572"/>
      <c r="C377" s="95">
        <v>2539.5</v>
      </c>
      <c r="D377" s="95">
        <v>2.8</v>
      </c>
      <c r="E377" s="95">
        <v>48.5</v>
      </c>
      <c r="F377" s="95">
        <v>31.8</v>
      </c>
      <c r="G377" s="95">
        <v>62.6</v>
      </c>
    </row>
    <row r="378" spans="1:7" s="94" customFormat="1" ht="13">
      <c r="A378" s="570" t="s">
        <v>446</v>
      </c>
      <c r="B378" s="572"/>
      <c r="C378" s="95">
        <v>2548.3000000000002</v>
      </c>
      <c r="D378" s="95">
        <v>2.8</v>
      </c>
      <c r="E378" s="95">
        <v>48.8</v>
      </c>
      <c r="F378" s="95">
        <v>31.7</v>
      </c>
      <c r="G378" s="95">
        <v>63.3</v>
      </c>
    </row>
    <row r="379" spans="1:7" s="94" customFormat="1" ht="13">
      <c r="A379" s="570" t="s">
        <v>447</v>
      </c>
      <c r="B379" s="572"/>
      <c r="C379" s="95">
        <v>2547.8000000000002</v>
      </c>
      <c r="D379" s="95">
        <v>2.8</v>
      </c>
      <c r="E379" s="95">
        <v>49.3</v>
      </c>
      <c r="F379" s="95">
        <v>31.6</v>
      </c>
      <c r="G379" s="95">
        <v>64.400000000000006</v>
      </c>
    </row>
    <row r="380" spans="1:7" s="94" customFormat="1" ht="13">
      <c r="A380" s="570" t="s">
        <v>448</v>
      </c>
      <c r="B380" s="572"/>
      <c r="C380" s="95">
        <v>2545.1</v>
      </c>
      <c r="D380" s="95">
        <v>2.8</v>
      </c>
      <c r="E380" s="95">
        <v>49.4</v>
      </c>
      <c r="F380" s="95">
        <v>31.7</v>
      </c>
      <c r="G380" s="95">
        <v>64.400000000000006</v>
      </c>
    </row>
    <row r="381" spans="1:7" s="94" customFormat="1" ht="13">
      <c r="A381" s="570" t="s">
        <v>449</v>
      </c>
      <c r="B381" s="572"/>
      <c r="C381" s="95">
        <v>2540.8000000000002</v>
      </c>
      <c r="D381" s="95">
        <v>2.8</v>
      </c>
      <c r="E381" s="95">
        <v>49.2</v>
      </c>
      <c r="F381" s="95">
        <v>31.8</v>
      </c>
      <c r="G381" s="95">
        <v>64.099999999999994</v>
      </c>
    </row>
    <row r="382" spans="1:7" s="94" customFormat="1" ht="13">
      <c r="A382" s="570" t="s">
        <v>450</v>
      </c>
      <c r="B382" s="572"/>
      <c r="C382" s="95">
        <v>2540.6</v>
      </c>
      <c r="D382" s="95">
        <v>2.8</v>
      </c>
      <c r="E382" s="95">
        <v>49.6</v>
      </c>
      <c r="F382" s="95">
        <v>31.8</v>
      </c>
      <c r="G382" s="95">
        <v>64.599999999999994</v>
      </c>
    </row>
    <row r="383" spans="1:7" s="94" customFormat="1" ht="13">
      <c r="A383" s="570" t="s">
        <v>451</v>
      </c>
      <c r="B383" s="572"/>
      <c r="C383" s="95">
        <v>2546.3000000000002</v>
      </c>
      <c r="D383" s="95">
        <v>2.8</v>
      </c>
      <c r="E383" s="95">
        <v>49.5</v>
      </c>
      <c r="F383" s="95">
        <v>31.8</v>
      </c>
      <c r="G383" s="95">
        <v>64.400000000000006</v>
      </c>
    </row>
    <row r="384" spans="1:7" s="94" customFormat="1" ht="13">
      <c r="A384" s="570" t="s">
        <v>452</v>
      </c>
      <c r="B384" s="572"/>
      <c r="C384" s="95">
        <v>2554.1</v>
      </c>
      <c r="D384" s="95">
        <v>2.8</v>
      </c>
      <c r="E384" s="95">
        <v>49.6</v>
      </c>
      <c r="F384" s="95">
        <v>31.8</v>
      </c>
      <c r="G384" s="95">
        <v>64.599999999999994</v>
      </c>
    </row>
    <row r="385" spans="1:7" s="94" customFormat="1" ht="13">
      <c r="A385" s="570" t="s">
        <v>453</v>
      </c>
      <c r="B385" s="572"/>
      <c r="C385" s="95">
        <v>2558.3000000000002</v>
      </c>
      <c r="D385" s="95">
        <v>2.8</v>
      </c>
      <c r="E385" s="95">
        <v>49.3</v>
      </c>
      <c r="F385" s="95">
        <v>31.7</v>
      </c>
      <c r="G385" s="95">
        <v>64.099999999999994</v>
      </c>
    </row>
    <row r="386" spans="1:7" s="94" customFormat="1" ht="13">
      <c r="A386" s="570" t="s">
        <v>454</v>
      </c>
      <c r="B386" s="572"/>
      <c r="C386" s="95">
        <v>2555.9</v>
      </c>
      <c r="D386" s="95">
        <v>2.8</v>
      </c>
      <c r="E386" s="95">
        <v>49.2</v>
      </c>
      <c r="F386" s="95">
        <v>31.6</v>
      </c>
      <c r="G386" s="95">
        <v>64</v>
      </c>
    </row>
    <row r="387" spans="1:7" s="94" customFormat="1" ht="13">
      <c r="A387" s="570" t="s">
        <v>455</v>
      </c>
      <c r="B387" s="572"/>
      <c r="C387" s="95">
        <v>2560.5</v>
      </c>
      <c r="D387" s="95">
        <v>2.8</v>
      </c>
      <c r="E387" s="95">
        <v>49.2</v>
      </c>
      <c r="F387" s="95">
        <v>31.6</v>
      </c>
      <c r="G387" s="95">
        <v>64</v>
      </c>
    </row>
    <row r="388" spans="1:7" s="94" customFormat="1" ht="13">
      <c r="A388" s="570" t="s">
        <v>456</v>
      </c>
      <c r="B388" s="572"/>
      <c r="C388" s="95">
        <v>2569.1999999999998</v>
      </c>
      <c r="D388" s="95">
        <v>2.8</v>
      </c>
      <c r="E388" s="95">
        <v>48.9</v>
      </c>
      <c r="F388" s="95">
        <v>31.4</v>
      </c>
      <c r="G388" s="95">
        <v>63.7</v>
      </c>
    </row>
    <row r="389" spans="1:7" s="94" customFormat="1" ht="13">
      <c r="A389" s="570" t="s">
        <v>457</v>
      </c>
      <c r="B389" s="572"/>
      <c r="C389" s="95">
        <v>2574.6999999999998</v>
      </c>
      <c r="D389" s="95">
        <v>2.8</v>
      </c>
      <c r="E389" s="95">
        <v>49</v>
      </c>
      <c r="F389" s="95">
        <v>31.4</v>
      </c>
      <c r="G389" s="95">
        <v>63.8</v>
      </c>
    </row>
    <row r="390" spans="1:7" s="94" customFormat="1" ht="13">
      <c r="A390" s="570" t="s">
        <v>458</v>
      </c>
      <c r="B390" s="572"/>
      <c r="C390" s="95">
        <v>2581.3000000000002</v>
      </c>
      <c r="D390" s="95">
        <v>2.8</v>
      </c>
      <c r="E390" s="95">
        <v>48.9</v>
      </c>
      <c r="F390" s="95">
        <v>31.5</v>
      </c>
      <c r="G390" s="95">
        <v>63.7</v>
      </c>
    </row>
    <row r="391" spans="1:7" s="94" customFormat="1" ht="13">
      <c r="A391" s="570" t="s">
        <v>459</v>
      </c>
      <c r="B391" s="572"/>
      <c r="C391" s="95">
        <v>2579.1</v>
      </c>
      <c r="D391" s="95">
        <v>2.8</v>
      </c>
      <c r="E391" s="95">
        <v>49.1</v>
      </c>
      <c r="F391" s="95">
        <v>31.7</v>
      </c>
      <c r="G391" s="95">
        <v>64</v>
      </c>
    </row>
    <row r="392" spans="1:7" s="94" customFormat="1" ht="13">
      <c r="A392" s="570" t="s">
        <v>460</v>
      </c>
      <c r="B392" s="572"/>
      <c r="C392" s="95">
        <v>2574.5</v>
      </c>
      <c r="D392" s="95">
        <v>2.8</v>
      </c>
      <c r="E392" s="95">
        <v>49.3</v>
      </c>
      <c r="F392" s="95">
        <v>31.8</v>
      </c>
      <c r="G392" s="95">
        <v>64.400000000000006</v>
      </c>
    </row>
    <row r="393" spans="1:7" s="94" customFormat="1" ht="13">
      <c r="A393" s="570" t="s">
        <v>461</v>
      </c>
      <c r="B393" s="572"/>
      <c r="C393" s="95">
        <v>2570.9</v>
      </c>
      <c r="D393" s="95">
        <v>2.8</v>
      </c>
      <c r="E393" s="95">
        <v>49.1</v>
      </c>
      <c r="F393" s="95">
        <v>31.8</v>
      </c>
      <c r="G393" s="95">
        <v>64</v>
      </c>
    </row>
    <row r="394" spans="1:7" s="94" customFormat="1" ht="13">
      <c r="A394" s="570" t="s">
        <v>462</v>
      </c>
      <c r="B394" s="572"/>
      <c r="C394" s="95">
        <v>2573.9</v>
      </c>
      <c r="D394" s="95">
        <v>2.8</v>
      </c>
      <c r="E394" s="95">
        <v>49.1</v>
      </c>
      <c r="F394" s="95">
        <v>32</v>
      </c>
      <c r="G394" s="95">
        <v>63.8</v>
      </c>
    </row>
    <row r="396" spans="1:7" s="94" customFormat="1" ht="12.75" customHeight="1">
      <c r="A396" s="99" t="s">
        <v>463</v>
      </c>
      <c r="B396" s="570" t="s">
        <v>464</v>
      </c>
      <c r="C396" s="571"/>
      <c r="D396" s="571"/>
      <c r="E396" s="571"/>
      <c r="F396" s="571"/>
      <c r="G396" s="571"/>
    </row>
    <row r="397" spans="1:7" s="94" customFormat="1" ht="12.75" customHeight="1">
      <c r="A397" s="99" t="s">
        <v>465</v>
      </c>
      <c r="B397" s="570" t="s">
        <v>466</v>
      </c>
      <c r="C397" s="571"/>
      <c r="D397" s="571"/>
      <c r="E397" s="571"/>
      <c r="F397" s="571"/>
      <c r="G397" s="571"/>
    </row>
    <row r="398" spans="1:7" s="94" customFormat="1" ht="63.75" customHeight="1">
      <c r="A398" s="99" t="s">
        <v>465</v>
      </c>
      <c r="B398" s="570" t="s">
        <v>467</v>
      </c>
      <c r="C398" s="571"/>
      <c r="D398" s="571"/>
      <c r="E398" s="571"/>
      <c r="F398" s="571"/>
      <c r="G398" s="571"/>
    </row>
    <row r="399" spans="1:7" s="94" customFormat="1" ht="25.5" customHeight="1">
      <c r="A399" s="99" t="s">
        <v>465</v>
      </c>
      <c r="B399" s="570" t="s">
        <v>468</v>
      </c>
      <c r="C399" s="571"/>
      <c r="D399" s="571"/>
      <c r="E399" s="571"/>
      <c r="F399" s="571"/>
      <c r="G399" s="571"/>
    </row>
    <row r="400" spans="1:7" s="94" customFormat="1" ht="12.75" customHeight="1">
      <c r="A400" s="99" t="s">
        <v>465</v>
      </c>
      <c r="B400" s="96" t="s">
        <v>107</v>
      </c>
      <c r="C400" s="570" t="s">
        <v>469</v>
      </c>
      <c r="D400" s="571"/>
      <c r="E400" s="571"/>
      <c r="F400" s="571"/>
      <c r="G400" s="571"/>
    </row>
    <row r="401" spans="1:10" s="94" customFormat="1" ht="51" customHeight="1">
      <c r="A401" s="99" t="s">
        <v>470</v>
      </c>
      <c r="B401" s="570" t="s">
        <v>471</v>
      </c>
      <c r="C401" s="571"/>
      <c r="D401" s="571"/>
      <c r="E401" s="571"/>
      <c r="F401" s="571"/>
      <c r="G401" s="571"/>
    </row>
    <row r="403" spans="1:10" s="94" customFormat="1" ht="12.75" customHeight="1">
      <c r="A403" s="570" t="s">
        <v>472</v>
      </c>
      <c r="B403" s="571"/>
      <c r="C403" s="571"/>
      <c r="D403" s="571"/>
      <c r="E403" s="571"/>
      <c r="F403" s="571"/>
      <c r="G403" s="571"/>
      <c r="H403" s="571"/>
      <c r="I403" s="571"/>
      <c r="J403" s="571"/>
    </row>
  </sheetData>
  <mergeCells count="400">
    <mergeCell ref="A1:O1"/>
    <mergeCell ref="A3:B3"/>
    <mergeCell ref="A4:B4"/>
    <mergeCell ref="A5:B5"/>
    <mergeCell ref="A6:B6"/>
    <mergeCell ref="A7:B7"/>
    <mergeCell ref="A14:B14"/>
    <mergeCell ref="A15:B15"/>
    <mergeCell ref="A16:B16"/>
    <mergeCell ref="A17:B17"/>
    <mergeCell ref="A18:B18"/>
    <mergeCell ref="A19:B19"/>
    <mergeCell ref="A8:B8"/>
    <mergeCell ref="A9:B9"/>
    <mergeCell ref="A10:B10"/>
    <mergeCell ref="A11:B11"/>
    <mergeCell ref="A12:B12"/>
    <mergeCell ref="A13:B13"/>
    <mergeCell ref="A26:B26"/>
    <mergeCell ref="A27:B27"/>
    <mergeCell ref="A28:B28"/>
    <mergeCell ref="A29:B29"/>
    <mergeCell ref="A30:B30"/>
    <mergeCell ref="A31:B31"/>
    <mergeCell ref="A20:B20"/>
    <mergeCell ref="A21:B21"/>
    <mergeCell ref="A22:B22"/>
    <mergeCell ref="A23:B23"/>
    <mergeCell ref="A24:B24"/>
    <mergeCell ref="A25:B25"/>
    <mergeCell ref="A38:B38"/>
    <mergeCell ref="A39:B39"/>
    <mergeCell ref="A40:B40"/>
    <mergeCell ref="A41:B41"/>
    <mergeCell ref="A42:B42"/>
    <mergeCell ref="A43:B43"/>
    <mergeCell ref="A32:B32"/>
    <mergeCell ref="A33:B33"/>
    <mergeCell ref="A34:B34"/>
    <mergeCell ref="A35:B35"/>
    <mergeCell ref="A36:B36"/>
    <mergeCell ref="A37:B37"/>
    <mergeCell ref="A50:B50"/>
    <mergeCell ref="A51:B51"/>
    <mergeCell ref="A52:B52"/>
    <mergeCell ref="A53:B53"/>
    <mergeCell ref="A54:B54"/>
    <mergeCell ref="A55:B55"/>
    <mergeCell ref="A44:B44"/>
    <mergeCell ref="A45:B45"/>
    <mergeCell ref="A46:B46"/>
    <mergeCell ref="A47:B47"/>
    <mergeCell ref="A48:B48"/>
    <mergeCell ref="A49:B49"/>
    <mergeCell ref="A62:B62"/>
    <mergeCell ref="A63:B63"/>
    <mergeCell ref="A64:B64"/>
    <mergeCell ref="A65:B65"/>
    <mergeCell ref="A66:B66"/>
    <mergeCell ref="A67:B67"/>
    <mergeCell ref="A56:B56"/>
    <mergeCell ref="A57:B57"/>
    <mergeCell ref="A58:B58"/>
    <mergeCell ref="A59:B59"/>
    <mergeCell ref="A60:B60"/>
    <mergeCell ref="A61:B61"/>
    <mergeCell ref="A74:B74"/>
    <mergeCell ref="A75:B75"/>
    <mergeCell ref="A76:B76"/>
    <mergeCell ref="A77:B77"/>
    <mergeCell ref="A78:B78"/>
    <mergeCell ref="A79:B79"/>
    <mergeCell ref="A68:B68"/>
    <mergeCell ref="A69:B69"/>
    <mergeCell ref="A70:B70"/>
    <mergeCell ref="A71:B71"/>
    <mergeCell ref="A72:B72"/>
    <mergeCell ref="A73:B73"/>
    <mergeCell ref="A86:B86"/>
    <mergeCell ref="A87:B87"/>
    <mergeCell ref="A88:B88"/>
    <mergeCell ref="A89:B89"/>
    <mergeCell ref="A90:B90"/>
    <mergeCell ref="A91:B91"/>
    <mergeCell ref="A80:B80"/>
    <mergeCell ref="A81:B81"/>
    <mergeCell ref="A82:B82"/>
    <mergeCell ref="A83:B83"/>
    <mergeCell ref="A84:B84"/>
    <mergeCell ref="A85:B85"/>
    <mergeCell ref="A98:B98"/>
    <mergeCell ref="A99:B99"/>
    <mergeCell ref="A100:B100"/>
    <mergeCell ref="A101:B101"/>
    <mergeCell ref="A102:B102"/>
    <mergeCell ref="A103:B103"/>
    <mergeCell ref="A92:B92"/>
    <mergeCell ref="A93:B93"/>
    <mergeCell ref="A94:B94"/>
    <mergeCell ref="A95:B95"/>
    <mergeCell ref="A96:B96"/>
    <mergeCell ref="A97:B97"/>
    <mergeCell ref="A110:B110"/>
    <mergeCell ref="A111:B111"/>
    <mergeCell ref="A112:B112"/>
    <mergeCell ref="A113:B113"/>
    <mergeCell ref="A114:B114"/>
    <mergeCell ref="A115:B115"/>
    <mergeCell ref="A104:B104"/>
    <mergeCell ref="A105:B105"/>
    <mergeCell ref="A106:B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4:B134"/>
    <mergeCell ref="A135:B135"/>
    <mergeCell ref="A136:B136"/>
    <mergeCell ref="A137:B137"/>
    <mergeCell ref="A138:B138"/>
    <mergeCell ref="A139:B139"/>
    <mergeCell ref="A128:B128"/>
    <mergeCell ref="A129:B129"/>
    <mergeCell ref="A130:B130"/>
    <mergeCell ref="A131:B131"/>
    <mergeCell ref="A132:B132"/>
    <mergeCell ref="A133:B133"/>
    <mergeCell ref="A146:B146"/>
    <mergeCell ref="A147:B147"/>
    <mergeCell ref="A148:B148"/>
    <mergeCell ref="A149:B149"/>
    <mergeCell ref="A150:B150"/>
    <mergeCell ref="A151:B151"/>
    <mergeCell ref="A140:B140"/>
    <mergeCell ref="A141:B141"/>
    <mergeCell ref="A142:B142"/>
    <mergeCell ref="A143:B143"/>
    <mergeCell ref="A144:B144"/>
    <mergeCell ref="A145:B145"/>
    <mergeCell ref="A158:B158"/>
    <mergeCell ref="A159:B159"/>
    <mergeCell ref="A160:B160"/>
    <mergeCell ref="A161:B161"/>
    <mergeCell ref="A162:B162"/>
    <mergeCell ref="A163:B163"/>
    <mergeCell ref="A152:B152"/>
    <mergeCell ref="A153:B153"/>
    <mergeCell ref="A154:B154"/>
    <mergeCell ref="A155:B155"/>
    <mergeCell ref="A156:B156"/>
    <mergeCell ref="A157:B157"/>
    <mergeCell ref="A170:B170"/>
    <mergeCell ref="A171:B171"/>
    <mergeCell ref="A172:B172"/>
    <mergeCell ref="A173:B173"/>
    <mergeCell ref="A174:B174"/>
    <mergeCell ref="A175:B175"/>
    <mergeCell ref="A164:B164"/>
    <mergeCell ref="A165:B165"/>
    <mergeCell ref="A166:B166"/>
    <mergeCell ref="A167:B167"/>
    <mergeCell ref="A168:B168"/>
    <mergeCell ref="A169:B169"/>
    <mergeCell ref="A182:B182"/>
    <mergeCell ref="A183:B183"/>
    <mergeCell ref="A184:B184"/>
    <mergeCell ref="A185:B185"/>
    <mergeCell ref="A186:B186"/>
    <mergeCell ref="A187:B187"/>
    <mergeCell ref="A176:B176"/>
    <mergeCell ref="A177:B177"/>
    <mergeCell ref="A178:B178"/>
    <mergeCell ref="A179:B179"/>
    <mergeCell ref="A180:B180"/>
    <mergeCell ref="A181:B181"/>
    <mergeCell ref="A194:B194"/>
    <mergeCell ref="A195:B195"/>
    <mergeCell ref="A196:B196"/>
    <mergeCell ref="A197:B197"/>
    <mergeCell ref="A198:B198"/>
    <mergeCell ref="A199:B199"/>
    <mergeCell ref="A188:B188"/>
    <mergeCell ref="A189:B189"/>
    <mergeCell ref="A190:B190"/>
    <mergeCell ref="A191:B191"/>
    <mergeCell ref="A192:B192"/>
    <mergeCell ref="A193:B193"/>
    <mergeCell ref="A206:B206"/>
    <mergeCell ref="A207:B207"/>
    <mergeCell ref="A208:B208"/>
    <mergeCell ref="A209:B209"/>
    <mergeCell ref="A210:B210"/>
    <mergeCell ref="A211:B211"/>
    <mergeCell ref="A200:B200"/>
    <mergeCell ref="A201:B201"/>
    <mergeCell ref="A202:B202"/>
    <mergeCell ref="A203:B203"/>
    <mergeCell ref="A204:B204"/>
    <mergeCell ref="A205:B205"/>
    <mergeCell ref="A218:B218"/>
    <mergeCell ref="A219:B219"/>
    <mergeCell ref="A220:B220"/>
    <mergeCell ref="A221:B221"/>
    <mergeCell ref="A222:B222"/>
    <mergeCell ref="A223:B223"/>
    <mergeCell ref="A212:B212"/>
    <mergeCell ref="A213:B213"/>
    <mergeCell ref="A214:B214"/>
    <mergeCell ref="A215:B215"/>
    <mergeCell ref="A216:B216"/>
    <mergeCell ref="A217:B217"/>
    <mergeCell ref="A230:B230"/>
    <mergeCell ref="A231:B231"/>
    <mergeCell ref="A232:B232"/>
    <mergeCell ref="A233:B233"/>
    <mergeCell ref="A234:B234"/>
    <mergeCell ref="A235:B235"/>
    <mergeCell ref="A224:B224"/>
    <mergeCell ref="A225:B225"/>
    <mergeCell ref="A226:B226"/>
    <mergeCell ref="A227:B227"/>
    <mergeCell ref="A228:B228"/>
    <mergeCell ref="A229:B229"/>
    <mergeCell ref="A242:B242"/>
    <mergeCell ref="A243:B243"/>
    <mergeCell ref="A244:B244"/>
    <mergeCell ref="A245:B245"/>
    <mergeCell ref="A246:B246"/>
    <mergeCell ref="A247:B247"/>
    <mergeCell ref="A236:B236"/>
    <mergeCell ref="A237:B237"/>
    <mergeCell ref="A238:B238"/>
    <mergeCell ref="A239:B239"/>
    <mergeCell ref="A240:B240"/>
    <mergeCell ref="A241:B241"/>
    <mergeCell ref="A254:B254"/>
    <mergeCell ref="A255:B255"/>
    <mergeCell ref="A256:B256"/>
    <mergeCell ref="A257:B257"/>
    <mergeCell ref="A258:B258"/>
    <mergeCell ref="A259:B259"/>
    <mergeCell ref="A248:B248"/>
    <mergeCell ref="A249:B249"/>
    <mergeCell ref="A250:B250"/>
    <mergeCell ref="A251:B251"/>
    <mergeCell ref="A252:B252"/>
    <mergeCell ref="A253:B253"/>
    <mergeCell ref="A266:B266"/>
    <mergeCell ref="A267:B267"/>
    <mergeCell ref="A268:B268"/>
    <mergeCell ref="A269:B269"/>
    <mergeCell ref="A270:B270"/>
    <mergeCell ref="A271:B271"/>
    <mergeCell ref="A260:B260"/>
    <mergeCell ref="A261:B261"/>
    <mergeCell ref="A262:B262"/>
    <mergeCell ref="A263:B263"/>
    <mergeCell ref="A264:B264"/>
    <mergeCell ref="A265:B265"/>
    <mergeCell ref="A278:B278"/>
    <mergeCell ref="A279:B279"/>
    <mergeCell ref="A280:B280"/>
    <mergeCell ref="A281:B281"/>
    <mergeCell ref="A282:B282"/>
    <mergeCell ref="A283:B283"/>
    <mergeCell ref="A272:B272"/>
    <mergeCell ref="A273:B273"/>
    <mergeCell ref="A274:B274"/>
    <mergeCell ref="A275:B275"/>
    <mergeCell ref="A276:B276"/>
    <mergeCell ref="A277:B277"/>
    <mergeCell ref="A290:B290"/>
    <mergeCell ref="A291:B291"/>
    <mergeCell ref="A292:B292"/>
    <mergeCell ref="A293:B293"/>
    <mergeCell ref="A294:B294"/>
    <mergeCell ref="A295:B295"/>
    <mergeCell ref="A284:B284"/>
    <mergeCell ref="A285:B285"/>
    <mergeCell ref="A286:B286"/>
    <mergeCell ref="A287:B287"/>
    <mergeCell ref="A288:B288"/>
    <mergeCell ref="A289:B289"/>
    <mergeCell ref="A302:B302"/>
    <mergeCell ref="A303:B303"/>
    <mergeCell ref="A304:B304"/>
    <mergeCell ref="A305:B305"/>
    <mergeCell ref="A306:B306"/>
    <mergeCell ref="A307:B307"/>
    <mergeCell ref="A296:B296"/>
    <mergeCell ref="A297:B297"/>
    <mergeCell ref="A298:B298"/>
    <mergeCell ref="A299:B299"/>
    <mergeCell ref="A300:B300"/>
    <mergeCell ref="A301:B301"/>
    <mergeCell ref="A314:B314"/>
    <mergeCell ref="A315:B315"/>
    <mergeCell ref="A316:B316"/>
    <mergeCell ref="A317:B317"/>
    <mergeCell ref="A318:B318"/>
    <mergeCell ref="A319:B319"/>
    <mergeCell ref="A308:B308"/>
    <mergeCell ref="A309:B309"/>
    <mergeCell ref="A310:B310"/>
    <mergeCell ref="A311:B311"/>
    <mergeCell ref="A312:B312"/>
    <mergeCell ref="A313:B313"/>
    <mergeCell ref="A326:B326"/>
    <mergeCell ref="A327:B327"/>
    <mergeCell ref="A328:B328"/>
    <mergeCell ref="A329:B329"/>
    <mergeCell ref="A330:B330"/>
    <mergeCell ref="A331:B331"/>
    <mergeCell ref="A320:B320"/>
    <mergeCell ref="A321:B321"/>
    <mergeCell ref="A322:B322"/>
    <mergeCell ref="A323:B323"/>
    <mergeCell ref="A324:B324"/>
    <mergeCell ref="A325:B325"/>
    <mergeCell ref="A338:B338"/>
    <mergeCell ref="A339:B339"/>
    <mergeCell ref="A340:B340"/>
    <mergeCell ref="A341:B341"/>
    <mergeCell ref="A342:B342"/>
    <mergeCell ref="A343:B343"/>
    <mergeCell ref="A332:B332"/>
    <mergeCell ref="A333:B333"/>
    <mergeCell ref="A334:B334"/>
    <mergeCell ref="A335:B335"/>
    <mergeCell ref="A336:B336"/>
    <mergeCell ref="A337:B337"/>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62:B362"/>
    <mergeCell ref="A363:B363"/>
    <mergeCell ref="A364:B364"/>
    <mergeCell ref="A365:B365"/>
    <mergeCell ref="A366:B366"/>
    <mergeCell ref="A367:B367"/>
    <mergeCell ref="A356:B356"/>
    <mergeCell ref="A357:B357"/>
    <mergeCell ref="A358:B358"/>
    <mergeCell ref="A359:B359"/>
    <mergeCell ref="A360:B360"/>
    <mergeCell ref="A361:B361"/>
    <mergeCell ref="A374:B374"/>
    <mergeCell ref="A375:B375"/>
    <mergeCell ref="A376:B376"/>
    <mergeCell ref="A377:B377"/>
    <mergeCell ref="A378:B378"/>
    <mergeCell ref="A379:B379"/>
    <mergeCell ref="A368:B368"/>
    <mergeCell ref="A369:B369"/>
    <mergeCell ref="A370:B370"/>
    <mergeCell ref="A371:B371"/>
    <mergeCell ref="A372:B372"/>
    <mergeCell ref="A373:B373"/>
    <mergeCell ref="A386:B386"/>
    <mergeCell ref="A387:B387"/>
    <mergeCell ref="A388:B388"/>
    <mergeCell ref="A389:B389"/>
    <mergeCell ref="A390:B390"/>
    <mergeCell ref="A391:B391"/>
    <mergeCell ref="A380:B380"/>
    <mergeCell ref="A381:B381"/>
    <mergeCell ref="A382:B382"/>
    <mergeCell ref="A383:B383"/>
    <mergeCell ref="A384:B384"/>
    <mergeCell ref="A385:B385"/>
    <mergeCell ref="B399:G399"/>
    <mergeCell ref="C400:G400"/>
    <mergeCell ref="B401:G401"/>
    <mergeCell ref="A403:J403"/>
    <mergeCell ref="A392:B392"/>
    <mergeCell ref="A393:B393"/>
    <mergeCell ref="A394:B394"/>
    <mergeCell ref="B396:G396"/>
    <mergeCell ref="B397:G397"/>
    <mergeCell ref="B398:G398"/>
  </mergeCells>
  <phoneticPr fontId="3" type="noConversion"/>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7"/>
  <sheetViews>
    <sheetView zoomScaleNormal="100" workbookViewId="0">
      <pane xSplit="1" ySplit="6" topLeftCell="B7" activePane="bottomRight" state="frozen"/>
      <selection pane="topRight" activeCell="F21" sqref="F21"/>
      <selection pane="bottomLeft" activeCell="F21" sqref="F21"/>
      <selection pane="bottomRight" activeCell="F21" sqref="F21"/>
    </sheetView>
  </sheetViews>
  <sheetFormatPr defaultColWidth="9" defaultRowHeight="14"/>
  <cols>
    <col min="1" max="1" width="9" style="69"/>
    <col min="2" max="4" width="21.453125" style="69" customWidth="1"/>
    <col min="5" max="5" width="11.453125" style="69" customWidth="1"/>
    <col min="6" max="6" width="9.453125" style="69" bestFit="1" customWidth="1"/>
    <col min="7" max="7" width="9.1796875" style="69" bestFit="1" customWidth="1"/>
    <col min="8" max="257" width="9" style="69"/>
    <col min="258" max="260" width="21.453125" style="69" customWidth="1"/>
    <col min="261" max="261" width="11.453125" style="69" customWidth="1"/>
    <col min="262" max="262" width="9.453125" style="69" bestFit="1" customWidth="1"/>
    <col min="263" max="263" width="9.1796875" style="69" bestFit="1" customWidth="1"/>
    <col min="264" max="513" width="9" style="69"/>
    <col min="514" max="516" width="21.453125" style="69" customWidth="1"/>
    <col min="517" max="517" width="11.453125" style="69" customWidth="1"/>
    <col min="518" max="518" width="9.453125" style="69" bestFit="1" customWidth="1"/>
    <col min="519" max="519" width="9.1796875" style="69" bestFit="1" customWidth="1"/>
    <col min="520" max="769" width="9" style="69"/>
    <col min="770" max="772" width="21.453125" style="69" customWidth="1"/>
    <col min="773" max="773" width="11.453125" style="69" customWidth="1"/>
    <col min="774" max="774" width="9.453125" style="69" bestFit="1" customWidth="1"/>
    <col min="775" max="775" width="9.1796875" style="69" bestFit="1" customWidth="1"/>
    <col min="776" max="1025" width="9" style="69"/>
    <col min="1026" max="1028" width="21.453125" style="69" customWidth="1"/>
    <col min="1029" max="1029" width="11.453125" style="69" customWidth="1"/>
    <col min="1030" max="1030" width="9.453125" style="69" bestFit="1" customWidth="1"/>
    <col min="1031" max="1031" width="9.1796875" style="69" bestFit="1" customWidth="1"/>
    <col min="1032" max="1281" width="9" style="69"/>
    <col min="1282" max="1284" width="21.453125" style="69" customWidth="1"/>
    <col min="1285" max="1285" width="11.453125" style="69" customWidth="1"/>
    <col min="1286" max="1286" width="9.453125" style="69" bestFit="1" customWidth="1"/>
    <col min="1287" max="1287" width="9.1796875" style="69" bestFit="1" customWidth="1"/>
    <col min="1288" max="1537" width="9" style="69"/>
    <col min="1538" max="1540" width="21.453125" style="69" customWidth="1"/>
    <col min="1541" max="1541" width="11.453125" style="69" customWidth="1"/>
    <col min="1542" max="1542" width="9.453125" style="69" bestFit="1" customWidth="1"/>
    <col min="1543" max="1543" width="9.1796875" style="69" bestFit="1" customWidth="1"/>
    <col min="1544" max="1793" width="9" style="69"/>
    <col min="1794" max="1796" width="21.453125" style="69" customWidth="1"/>
    <col min="1797" max="1797" width="11.453125" style="69" customWidth="1"/>
    <col min="1798" max="1798" width="9.453125" style="69" bestFit="1" customWidth="1"/>
    <col min="1799" max="1799" width="9.1796875" style="69" bestFit="1" customWidth="1"/>
    <col min="1800" max="2049" width="9" style="69"/>
    <col min="2050" max="2052" width="21.453125" style="69" customWidth="1"/>
    <col min="2053" max="2053" width="11.453125" style="69" customWidth="1"/>
    <col min="2054" max="2054" width="9.453125" style="69" bestFit="1" customWidth="1"/>
    <col min="2055" max="2055" width="9.1796875" style="69" bestFit="1" customWidth="1"/>
    <col min="2056" max="2305" width="9" style="69"/>
    <col min="2306" max="2308" width="21.453125" style="69" customWidth="1"/>
    <col min="2309" max="2309" width="11.453125" style="69" customWidth="1"/>
    <col min="2310" max="2310" width="9.453125" style="69" bestFit="1" customWidth="1"/>
    <col min="2311" max="2311" width="9.1796875" style="69" bestFit="1" customWidth="1"/>
    <col min="2312" max="2561" width="9" style="69"/>
    <col min="2562" max="2564" width="21.453125" style="69" customWidth="1"/>
    <col min="2565" max="2565" width="11.453125" style="69" customWidth="1"/>
    <col min="2566" max="2566" width="9.453125" style="69" bestFit="1" customWidth="1"/>
    <col min="2567" max="2567" width="9.1796875" style="69" bestFit="1" customWidth="1"/>
    <col min="2568" max="2817" width="9" style="69"/>
    <col min="2818" max="2820" width="21.453125" style="69" customWidth="1"/>
    <col min="2821" max="2821" width="11.453125" style="69" customWidth="1"/>
    <col min="2822" max="2822" width="9.453125" style="69" bestFit="1" customWidth="1"/>
    <col min="2823" max="2823" width="9.1796875" style="69" bestFit="1" customWidth="1"/>
    <col min="2824" max="3073" width="9" style="69"/>
    <col min="3074" max="3076" width="21.453125" style="69" customWidth="1"/>
    <col min="3077" max="3077" width="11.453125" style="69" customWidth="1"/>
    <col min="3078" max="3078" width="9.453125" style="69" bestFit="1" customWidth="1"/>
    <col min="3079" max="3079" width="9.1796875" style="69" bestFit="1" customWidth="1"/>
    <col min="3080" max="3329" width="9" style="69"/>
    <col min="3330" max="3332" width="21.453125" style="69" customWidth="1"/>
    <col min="3333" max="3333" width="11.453125" style="69" customWidth="1"/>
    <col min="3334" max="3334" width="9.453125" style="69" bestFit="1" customWidth="1"/>
    <col min="3335" max="3335" width="9.1796875" style="69" bestFit="1" customWidth="1"/>
    <col min="3336" max="3585" width="9" style="69"/>
    <col min="3586" max="3588" width="21.453125" style="69" customWidth="1"/>
    <col min="3589" max="3589" width="11.453125" style="69" customWidth="1"/>
    <col min="3590" max="3590" width="9.453125" style="69" bestFit="1" customWidth="1"/>
    <col min="3591" max="3591" width="9.1796875" style="69" bestFit="1" customWidth="1"/>
    <col min="3592" max="3841" width="9" style="69"/>
    <col min="3842" max="3844" width="21.453125" style="69" customWidth="1"/>
    <col min="3845" max="3845" width="11.453125" style="69" customWidth="1"/>
    <col min="3846" max="3846" width="9.453125" style="69" bestFit="1" customWidth="1"/>
    <col min="3847" max="3847" width="9.1796875" style="69" bestFit="1" customWidth="1"/>
    <col min="3848" max="4097" width="9" style="69"/>
    <col min="4098" max="4100" width="21.453125" style="69" customWidth="1"/>
    <col min="4101" max="4101" width="11.453125" style="69" customWidth="1"/>
    <col min="4102" max="4102" width="9.453125" style="69" bestFit="1" customWidth="1"/>
    <col min="4103" max="4103" width="9.1796875" style="69" bestFit="1" customWidth="1"/>
    <col min="4104" max="4353" width="9" style="69"/>
    <col min="4354" max="4356" width="21.453125" style="69" customWidth="1"/>
    <col min="4357" max="4357" width="11.453125" style="69" customWidth="1"/>
    <col min="4358" max="4358" width="9.453125" style="69" bestFit="1" customWidth="1"/>
    <col min="4359" max="4359" width="9.1796875" style="69" bestFit="1" customWidth="1"/>
    <col min="4360" max="4609" width="9" style="69"/>
    <col min="4610" max="4612" width="21.453125" style="69" customWidth="1"/>
    <col min="4613" max="4613" width="11.453125" style="69" customWidth="1"/>
    <col min="4614" max="4614" width="9.453125" style="69" bestFit="1" customWidth="1"/>
    <col min="4615" max="4615" width="9.1796875" style="69" bestFit="1" customWidth="1"/>
    <col min="4616" max="4865" width="9" style="69"/>
    <col min="4866" max="4868" width="21.453125" style="69" customWidth="1"/>
    <col min="4869" max="4869" width="11.453125" style="69" customWidth="1"/>
    <col min="4870" max="4870" width="9.453125" style="69" bestFit="1" customWidth="1"/>
    <col min="4871" max="4871" width="9.1796875" style="69" bestFit="1" customWidth="1"/>
    <col min="4872" max="5121" width="9" style="69"/>
    <col min="5122" max="5124" width="21.453125" style="69" customWidth="1"/>
    <col min="5125" max="5125" width="11.453125" style="69" customWidth="1"/>
    <col min="5126" max="5126" width="9.453125" style="69" bestFit="1" customWidth="1"/>
    <col min="5127" max="5127" width="9.1796875" style="69" bestFit="1" customWidth="1"/>
    <col min="5128" max="5377" width="9" style="69"/>
    <col min="5378" max="5380" width="21.453125" style="69" customWidth="1"/>
    <col min="5381" max="5381" width="11.453125" style="69" customWidth="1"/>
    <col min="5382" max="5382" width="9.453125" style="69" bestFit="1" customWidth="1"/>
    <col min="5383" max="5383" width="9.1796875" style="69" bestFit="1" customWidth="1"/>
    <col min="5384" max="5633" width="9" style="69"/>
    <col min="5634" max="5636" width="21.453125" style="69" customWidth="1"/>
    <col min="5637" max="5637" width="11.453125" style="69" customWidth="1"/>
    <col min="5638" max="5638" width="9.453125" style="69" bestFit="1" customWidth="1"/>
    <col min="5639" max="5639" width="9.1796875" style="69" bestFit="1" customWidth="1"/>
    <col min="5640" max="5889" width="9" style="69"/>
    <col min="5890" max="5892" width="21.453125" style="69" customWidth="1"/>
    <col min="5893" max="5893" width="11.453125" style="69" customWidth="1"/>
    <col min="5894" max="5894" width="9.453125" style="69" bestFit="1" customWidth="1"/>
    <col min="5895" max="5895" width="9.1796875" style="69" bestFit="1" customWidth="1"/>
    <col min="5896" max="6145" width="9" style="69"/>
    <col min="6146" max="6148" width="21.453125" style="69" customWidth="1"/>
    <col min="6149" max="6149" width="11.453125" style="69" customWidth="1"/>
    <col min="6150" max="6150" width="9.453125" style="69" bestFit="1" customWidth="1"/>
    <col min="6151" max="6151" width="9.1796875" style="69" bestFit="1" customWidth="1"/>
    <col min="6152" max="6401" width="9" style="69"/>
    <col min="6402" max="6404" width="21.453125" style="69" customWidth="1"/>
    <col min="6405" max="6405" width="11.453125" style="69" customWidth="1"/>
    <col min="6406" max="6406" width="9.453125" style="69" bestFit="1" customWidth="1"/>
    <col min="6407" max="6407" width="9.1796875" style="69" bestFit="1" customWidth="1"/>
    <col min="6408" max="6657" width="9" style="69"/>
    <col min="6658" max="6660" width="21.453125" style="69" customWidth="1"/>
    <col min="6661" max="6661" width="11.453125" style="69" customWidth="1"/>
    <col min="6662" max="6662" width="9.453125" style="69" bestFit="1" customWidth="1"/>
    <col min="6663" max="6663" width="9.1796875" style="69" bestFit="1" customWidth="1"/>
    <col min="6664" max="6913" width="9" style="69"/>
    <col min="6914" max="6916" width="21.453125" style="69" customWidth="1"/>
    <col min="6917" max="6917" width="11.453125" style="69" customWidth="1"/>
    <col min="6918" max="6918" width="9.453125" style="69" bestFit="1" customWidth="1"/>
    <col min="6919" max="6919" width="9.1796875" style="69" bestFit="1" customWidth="1"/>
    <col min="6920" max="7169" width="9" style="69"/>
    <col min="7170" max="7172" width="21.453125" style="69" customWidth="1"/>
    <col min="7173" max="7173" width="11.453125" style="69" customWidth="1"/>
    <col min="7174" max="7174" width="9.453125" style="69" bestFit="1" customWidth="1"/>
    <col min="7175" max="7175" width="9.1796875" style="69" bestFit="1" customWidth="1"/>
    <col min="7176" max="7425" width="9" style="69"/>
    <col min="7426" max="7428" width="21.453125" style="69" customWidth="1"/>
    <col min="7429" max="7429" width="11.453125" style="69" customWidth="1"/>
    <col min="7430" max="7430" width="9.453125" style="69" bestFit="1" customWidth="1"/>
    <col min="7431" max="7431" width="9.1796875" style="69" bestFit="1" customWidth="1"/>
    <col min="7432" max="7681" width="9" style="69"/>
    <col min="7682" max="7684" width="21.453125" style="69" customWidth="1"/>
    <col min="7685" max="7685" width="11.453125" style="69" customWidth="1"/>
    <col min="7686" max="7686" width="9.453125" style="69" bestFit="1" customWidth="1"/>
    <col min="7687" max="7687" width="9.1796875" style="69" bestFit="1" customWidth="1"/>
    <col min="7688" max="7937" width="9" style="69"/>
    <col min="7938" max="7940" width="21.453125" style="69" customWidth="1"/>
    <col min="7941" max="7941" width="11.453125" style="69" customWidth="1"/>
    <col min="7942" max="7942" width="9.453125" style="69" bestFit="1" customWidth="1"/>
    <col min="7943" max="7943" width="9.1796875" style="69" bestFit="1" customWidth="1"/>
    <col min="7944" max="8193" width="9" style="69"/>
    <col min="8194" max="8196" width="21.453125" style="69" customWidth="1"/>
    <col min="8197" max="8197" width="11.453125" style="69" customWidth="1"/>
    <col min="8198" max="8198" width="9.453125" style="69" bestFit="1" customWidth="1"/>
    <col min="8199" max="8199" width="9.1796875" style="69" bestFit="1" customWidth="1"/>
    <col min="8200" max="8449" width="9" style="69"/>
    <col min="8450" max="8452" width="21.453125" style="69" customWidth="1"/>
    <col min="8453" max="8453" width="11.453125" style="69" customWidth="1"/>
    <col min="8454" max="8454" width="9.453125" style="69" bestFit="1" customWidth="1"/>
    <col min="8455" max="8455" width="9.1796875" style="69" bestFit="1" customWidth="1"/>
    <col min="8456" max="8705" width="9" style="69"/>
    <col min="8706" max="8708" width="21.453125" style="69" customWidth="1"/>
    <col min="8709" max="8709" width="11.453125" style="69" customWidth="1"/>
    <col min="8710" max="8710" width="9.453125" style="69" bestFit="1" customWidth="1"/>
    <col min="8711" max="8711" width="9.1796875" style="69" bestFit="1" customWidth="1"/>
    <col min="8712" max="8961" width="9" style="69"/>
    <col min="8962" max="8964" width="21.453125" style="69" customWidth="1"/>
    <col min="8965" max="8965" width="11.453125" style="69" customWidth="1"/>
    <col min="8966" max="8966" width="9.453125" style="69" bestFit="1" customWidth="1"/>
    <col min="8967" max="8967" width="9.1796875" style="69" bestFit="1" customWidth="1"/>
    <col min="8968" max="9217" width="9" style="69"/>
    <col min="9218" max="9220" width="21.453125" style="69" customWidth="1"/>
    <col min="9221" max="9221" width="11.453125" style="69" customWidth="1"/>
    <col min="9222" max="9222" width="9.453125" style="69" bestFit="1" customWidth="1"/>
    <col min="9223" max="9223" width="9.1796875" style="69" bestFit="1" customWidth="1"/>
    <col min="9224" max="9473" width="9" style="69"/>
    <col min="9474" max="9476" width="21.453125" style="69" customWidth="1"/>
    <col min="9477" max="9477" width="11.453125" style="69" customWidth="1"/>
    <col min="9478" max="9478" width="9.453125" style="69" bestFit="1" customWidth="1"/>
    <col min="9479" max="9479" width="9.1796875" style="69" bestFit="1" customWidth="1"/>
    <col min="9480" max="9729" width="9" style="69"/>
    <col min="9730" max="9732" width="21.453125" style="69" customWidth="1"/>
    <col min="9733" max="9733" width="11.453125" style="69" customWidth="1"/>
    <col min="9734" max="9734" width="9.453125" style="69" bestFit="1" customWidth="1"/>
    <col min="9735" max="9735" width="9.1796875" style="69" bestFit="1" customWidth="1"/>
    <col min="9736" max="9985" width="9" style="69"/>
    <col min="9986" max="9988" width="21.453125" style="69" customWidth="1"/>
    <col min="9989" max="9989" width="11.453125" style="69" customWidth="1"/>
    <col min="9990" max="9990" width="9.453125" style="69" bestFit="1" customWidth="1"/>
    <col min="9991" max="9991" width="9.1796875" style="69" bestFit="1" customWidth="1"/>
    <col min="9992" max="10241" width="9" style="69"/>
    <col min="10242" max="10244" width="21.453125" style="69" customWidth="1"/>
    <col min="10245" max="10245" width="11.453125" style="69" customWidth="1"/>
    <col min="10246" max="10246" width="9.453125" style="69" bestFit="1" customWidth="1"/>
    <col min="10247" max="10247" width="9.1796875" style="69" bestFit="1" customWidth="1"/>
    <col min="10248" max="10497" width="9" style="69"/>
    <col min="10498" max="10500" width="21.453125" style="69" customWidth="1"/>
    <col min="10501" max="10501" width="11.453125" style="69" customWidth="1"/>
    <col min="10502" max="10502" width="9.453125" style="69" bestFit="1" customWidth="1"/>
    <col min="10503" max="10503" width="9.1796875" style="69" bestFit="1" customWidth="1"/>
    <col min="10504" max="10753" width="9" style="69"/>
    <col min="10754" max="10756" width="21.453125" style="69" customWidth="1"/>
    <col min="10757" max="10757" width="11.453125" style="69" customWidth="1"/>
    <col min="10758" max="10758" width="9.453125" style="69" bestFit="1" customWidth="1"/>
    <col min="10759" max="10759" width="9.1796875" style="69" bestFit="1" customWidth="1"/>
    <col min="10760" max="11009" width="9" style="69"/>
    <col min="11010" max="11012" width="21.453125" style="69" customWidth="1"/>
    <col min="11013" max="11013" width="11.453125" style="69" customWidth="1"/>
    <col min="11014" max="11014" width="9.453125" style="69" bestFit="1" customWidth="1"/>
    <col min="11015" max="11015" width="9.1796875" style="69" bestFit="1" customWidth="1"/>
    <col min="11016" max="11265" width="9" style="69"/>
    <col min="11266" max="11268" width="21.453125" style="69" customWidth="1"/>
    <col min="11269" max="11269" width="11.453125" style="69" customWidth="1"/>
    <col min="11270" max="11270" width="9.453125" style="69" bestFit="1" customWidth="1"/>
    <col min="11271" max="11271" width="9.1796875" style="69" bestFit="1" customWidth="1"/>
    <col min="11272" max="11521" width="9" style="69"/>
    <col min="11522" max="11524" width="21.453125" style="69" customWidth="1"/>
    <col min="11525" max="11525" width="11.453125" style="69" customWidth="1"/>
    <col min="11526" max="11526" width="9.453125" style="69" bestFit="1" customWidth="1"/>
    <col min="11527" max="11527" width="9.1796875" style="69" bestFit="1" customWidth="1"/>
    <col min="11528" max="11777" width="9" style="69"/>
    <col min="11778" max="11780" width="21.453125" style="69" customWidth="1"/>
    <col min="11781" max="11781" width="11.453125" style="69" customWidth="1"/>
    <col min="11782" max="11782" width="9.453125" style="69" bestFit="1" customWidth="1"/>
    <col min="11783" max="11783" width="9.1796875" style="69" bestFit="1" customWidth="1"/>
    <col min="11784" max="12033" width="9" style="69"/>
    <col min="12034" max="12036" width="21.453125" style="69" customWidth="1"/>
    <col min="12037" max="12037" width="11.453125" style="69" customWidth="1"/>
    <col min="12038" max="12038" width="9.453125" style="69" bestFit="1" customWidth="1"/>
    <col min="12039" max="12039" width="9.1796875" style="69" bestFit="1" customWidth="1"/>
    <col min="12040" max="12289" width="9" style="69"/>
    <col min="12290" max="12292" width="21.453125" style="69" customWidth="1"/>
    <col min="12293" max="12293" width="11.453125" style="69" customWidth="1"/>
    <col min="12294" max="12294" width="9.453125" style="69" bestFit="1" customWidth="1"/>
    <col min="12295" max="12295" width="9.1796875" style="69" bestFit="1" customWidth="1"/>
    <col min="12296" max="12545" width="9" style="69"/>
    <col min="12546" max="12548" width="21.453125" style="69" customWidth="1"/>
    <col min="12549" max="12549" width="11.453125" style="69" customWidth="1"/>
    <col min="12550" max="12550" width="9.453125" style="69" bestFit="1" customWidth="1"/>
    <col min="12551" max="12551" width="9.1796875" style="69" bestFit="1" customWidth="1"/>
    <col min="12552" max="12801" width="9" style="69"/>
    <col min="12802" max="12804" width="21.453125" style="69" customWidth="1"/>
    <col min="12805" max="12805" width="11.453125" style="69" customWidth="1"/>
    <col min="12806" max="12806" width="9.453125" style="69" bestFit="1" customWidth="1"/>
    <col min="12807" max="12807" width="9.1796875" style="69" bestFit="1" customWidth="1"/>
    <col min="12808" max="13057" width="9" style="69"/>
    <col min="13058" max="13060" width="21.453125" style="69" customWidth="1"/>
    <col min="13061" max="13061" width="11.453125" style="69" customWidth="1"/>
    <col min="13062" max="13062" width="9.453125" style="69" bestFit="1" customWidth="1"/>
    <col min="13063" max="13063" width="9.1796875" style="69" bestFit="1" customWidth="1"/>
    <col min="13064" max="13313" width="9" style="69"/>
    <col min="13314" max="13316" width="21.453125" style="69" customWidth="1"/>
    <col min="13317" max="13317" width="11.453125" style="69" customWidth="1"/>
    <col min="13318" max="13318" width="9.453125" style="69" bestFit="1" customWidth="1"/>
    <col min="13319" max="13319" width="9.1796875" style="69" bestFit="1" customWidth="1"/>
    <col min="13320" max="13569" width="9" style="69"/>
    <col min="13570" max="13572" width="21.453125" style="69" customWidth="1"/>
    <col min="13573" max="13573" width="11.453125" style="69" customWidth="1"/>
    <col min="13574" max="13574" width="9.453125" style="69" bestFit="1" customWidth="1"/>
    <col min="13575" max="13575" width="9.1796875" style="69" bestFit="1" customWidth="1"/>
    <col min="13576" max="13825" width="9" style="69"/>
    <col min="13826" max="13828" width="21.453125" style="69" customWidth="1"/>
    <col min="13829" max="13829" width="11.453125" style="69" customWidth="1"/>
    <col min="13830" max="13830" width="9.453125" style="69" bestFit="1" customWidth="1"/>
    <col min="13831" max="13831" width="9.1796875" style="69" bestFit="1" customWidth="1"/>
    <col min="13832" max="14081" width="9" style="69"/>
    <col min="14082" max="14084" width="21.453125" style="69" customWidth="1"/>
    <col min="14085" max="14085" width="11.453125" style="69" customWidth="1"/>
    <col min="14086" max="14086" width="9.453125" style="69" bestFit="1" customWidth="1"/>
    <col min="14087" max="14087" width="9.1796875" style="69" bestFit="1" customWidth="1"/>
    <col min="14088" max="14337" width="9" style="69"/>
    <col min="14338" max="14340" width="21.453125" style="69" customWidth="1"/>
    <col min="14341" max="14341" width="11.453125" style="69" customWidth="1"/>
    <col min="14342" max="14342" width="9.453125" style="69" bestFit="1" customWidth="1"/>
    <col min="14343" max="14343" width="9.1796875" style="69" bestFit="1" customWidth="1"/>
    <col min="14344" max="14593" width="9" style="69"/>
    <col min="14594" max="14596" width="21.453125" style="69" customWidth="1"/>
    <col min="14597" max="14597" width="11.453125" style="69" customWidth="1"/>
    <col min="14598" max="14598" width="9.453125" style="69" bestFit="1" customWidth="1"/>
    <col min="14599" max="14599" width="9.1796875" style="69" bestFit="1" customWidth="1"/>
    <col min="14600" max="14849" width="9" style="69"/>
    <col min="14850" max="14852" width="21.453125" style="69" customWidth="1"/>
    <col min="14853" max="14853" width="11.453125" style="69" customWidth="1"/>
    <col min="14854" max="14854" width="9.453125" style="69" bestFit="1" customWidth="1"/>
    <col min="14855" max="14855" width="9.1796875" style="69" bestFit="1" customWidth="1"/>
    <col min="14856" max="15105" width="9" style="69"/>
    <col min="15106" max="15108" width="21.453125" style="69" customWidth="1"/>
    <col min="15109" max="15109" width="11.453125" style="69" customWidth="1"/>
    <col min="15110" max="15110" width="9.453125" style="69" bestFit="1" customWidth="1"/>
    <col min="15111" max="15111" width="9.1796875" style="69" bestFit="1" customWidth="1"/>
    <col min="15112" max="15361" width="9" style="69"/>
    <col min="15362" max="15364" width="21.453125" style="69" customWidth="1"/>
    <col min="15365" max="15365" width="11.453125" style="69" customWidth="1"/>
    <col min="15366" max="15366" width="9.453125" style="69" bestFit="1" customWidth="1"/>
    <col min="15367" max="15367" width="9.1796875" style="69" bestFit="1" customWidth="1"/>
    <col min="15368" max="15617" width="9" style="69"/>
    <col min="15618" max="15620" width="21.453125" style="69" customWidth="1"/>
    <col min="15621" max="15621" width="11.453125" style="69" customWidth="1"/>
    <col min="15622" max="15622" width="9.453125" style="69" bestFit="1" customWidth="1"/>
    <col min="15623" max="15623" width="9.1796875" style="69" bestFit="1" customWidth="1"/>
    <col min="15624" max="15873" width="9" style="69"/>
    <col min="15874" max="15876" width="21.453125" style="69" customWidth="1"/>
    <col min="15877" max="15877" width="11.453125" style="69" customWidth="1"/>
    <col min="15878" max="15878" width="9.453125" style="69" bestFit="1" customWidth="1"/>
    <col min="15879" max="15879" width="9.1796875" style="69" bestFit="1" customWidth="1"/>
    <col min="15880" max="16129" width="9" style="69"/>
    <col min="16130" max="16132" width="21.453125" style="69" customWidth="1"/>
    <col min="16133" max="16133" width="11.453125" style="69" customWidth="1"/>
    <col min="16134" max="16134" width="9.453125" style="69" bestFit="1" customWidth="1"/>
    <col min="16135" max="16135" width="9.1796875" style="69" bestFit="1" customWidth="1"/>
    <col min="16136" max="16384" width="9" style="69"/>
  </cols>
  <sheetData>
    <row r="1" spans="1:7" ht="17.5">
      <c r="A1" s="67" t="s">
        <v>473</v>
      </c>
      <c r="B1" s="68" t="s">
        <v>474</v>
      </c>
      <c r="E1"/>
    </row>
    <row r="2" spans="1:7" ht="17.5">
      <c r="A2" s="68" t="s">
        <v>475</v>
      </c>
      <c r="B2" s="68" t="s">
        <v>476</v>
      </c>
    </row>
    <row r="3" spans="1:7" ht="14.5" thickBot="1">
      <c r="A3" s="70"/>
    </row>
    <row r="4" spans="1:7" ht="17.25" customHeight="1">
      <c r="A4" s="71" t="s">
        <v>477</v>
      </c>
      <c r="B4" s="72" t="s">
        <v>478</v>
      </c>
      <c r="C4" s="72" t="s">
        <v>479</v>
      </c>
      <c r="D4" s="72" t="s">
        <v>480</v>
      </c>
    </row>
    <row r="5" spans="1:7" ht="28">
      <c r="A5" s="73" t="s">
        <v>481</v>
      </c>
      <c r="B5" s="74" t="s">
        <v>482</v>
      </c>
      <c r="C5" s="74" t="s">
        <v>483</v>
      </c>
      <c r="D5" s="74" t="s">
        <v>484</v>
      </c>
    </row>
    <row r="6" spans="1:7" ht="14.5" thickBot="1">
      <c r="A6" s="75"/>
      <c r="B6" s="76"/>
      <c r="C6" s="77"/>
      <c r="D6" s="76"/>
    </row>
    <row r="7" spans="1:7">
      <c r="A7" s="78">
        <v>1981</v>
      </c>
      <c r="B7" s="79">
        <v>1244700</v>
      </c>
      <c r="C7" s="79" t="s">
        <v>485</v>
      </c>
      <c r="D7" s="80">
        <v>3.9</v>
      </c>
      <c r="E7" s="81"/>
      <c r="F7" s="81"/>
      <c r="G7" s="81"/>
    </row>
    <row r="8" spans="1:7">
      <c r="A8" s="78">
        <v>1986</v>
      </c>
      <c r="B8" s="79">
        <v>1452600</v>
      </c>
      <c r="C8" s="79">
        <v>41600</v>
      </c>
      <c r="D8" s="80">
        <v>3.7</v>
      </c>
      <c r="E8" s="81"/>
      <c r="F8" s="81"/>
      <c r="G8" s="81"/>
    </row>
    <row r="9" spans="1:7">
      <c r="A9" s="78">
        <v>1991</v>
      </c>
      <c r="B9" s="79">
        <v>1582200</v>
      </c>
      <c r="C9" s="79">
        <v>25900</v>
      </c>
      <c r="D9" s="80">
        <v>3.4</v>
      </c>
      <c r="E9" s="81"/>
      <c r="F9" s="81"/>
      <c r="G9" s="81"/>
    </row>
    <row r="10" spans="1:7">
      <c r="A10" s="78">
        <v>1996</v>
      </c>
      <c r="B10" s="79">
        <v>1855600</v>
      </c>
      <c r="C10" s="79">
        <v>54700</v>
      </c>
      <c r="D10" s="80">
        <v>3.3</v>
      </c>
      <c r="E10" s="81"/>
      <c r="F10" s="81"/>
      <c r="G10" s="81"/>
    </row>
    <row r="11" spans="1:7">
      <c r="A11" s="78">
        <v>2001</v>
      </c>
      <c r="B11" s="79">
        <v>2053400</v>
      </c>
      <c r="C11" s="79">
        <v>39600</v>
      </c>
      <c r="D11" s="80">
        <v>3.1</v>
      </c>
      <c r="E11" s="81"/>
      <c r="F11" s="81"/>
      <c r="G11" s="81"/>
    </row>
    <row r="12" spans="1:7">
      <c r="A12" s="78">
        <v>2006</v>
      </c>
      <c r="B12" s="79">
        <v>2226500</v>
      </c>
      <c r="C12" s="79">
        <v>34600</v>
      </c>
      <c r="D12" s="80">
        <v>3</v>
      </c>
      <c r="E12" s="81"/>
      <c r="F12" s="81"/>
      <c r="G12" s="81"/>
    </row>
    <row r="13" spans="1:7">
      <c r="A13" s="78">
        <v>2011</v>
      </c>
      <c r="B13" s="79">
        <v>2368800</v>
      </c>
      <c r="C13" s="79">
        <v>28500</v>
      </c>
      <c r="D13" s="80">
        <v>2.9</v>
      </c>
      <c r="E13" s="81"/>
      <c r="F13" s="81"/>
      <c r="G13" s="81"/>
    </row>
    <row r="14" spans="1:7" ht="14.5" thickBot="1">
      <c r="A14" s="82">
        <v>2016</v>
      </c>
      <c r="B14" s="83">
        <v>2509700</v>
      </c>
      <c r="C14" s="84">
        <v>28200</v>
      </c>
      <c r="D14" s="85">
        <v>2.8</v>
      </c>
    </row>
    <row r="15" spans="1:7">
      <c r="A15" s="78">
        <v>2021</v>
      </c>
      <c r="B15" s="79">
        <v>2657000</v>
      </c>
      <c r="C15" s="79">
        <v>29400</v>
      </c>
      <c r="D15" s="80">
        <v>2.8</v>
      </c>
      <c r="E15" s="81"/>
      <c r="F15" s="81"/>
      <c r="G15" s="81"/>
    </row>
    <row r="16" spans="1:7">
      <c r="A16" s="78">
        <v>2026</v>
      </c>
      <c r="B16" s="79">
        <v>2768900</v>
      </c>
      <c r="C16" s="79">
        <v>22400</v>
      </c>
      <c r="D16" s="80">
        <v>2.7</v>
      </c>
      <c r="E16" s="81"/>
      <c r="F16" s="81"/>
      <c r="G16" s="81"/>
    </row>
    <row r="17" spans="1:7">
      <c r="A17" s="78">
        <v>2031</v>
      </c>
      <c r="B17" s="79">
        <v>2854500</v>
      </c>
      <c r="C17" s="79">
        <v>17100</v>
      </c>
      <c r="D17" s="80">
        <v>2.7</v>
      </c>
      <c r="E17" s="81"/>
      <c r="F17" s="81"/>
      <c r="G17" s="81"/>
    </row>
    <row r="18" spans="1:7">
      <c r="A18" s="78">
        <v>2036</v>
      </c>
      <c r="B18" s="79">
        <v>2920200</v>
      </c>
      <c r="C18" s="79">
        <v>13100</v>
      </c>
      <c r="D18" s="80">
        <v>2.7</v>
      </c>
      <c r="E18" s="81"/>
      <c r="F18" s="81"/>
      <c r="G18" s="81"/>
    </row>
    <row r="19" spans="1:7">
      <c r="A19" s="78">
        <v>2041</v>
      </c>
      <c r="B19" s="79">
        <v>2961400</v>
      </c>
      <c r="C19" s="79">
        <v>8200</v>
      </c>
      <c r="D19" s="80">
        <v>2.7</v>
      </c>
      <c r="E19" s="81"/>
      <c r="F19" s="81"/>
      <c r="G19" s="81"/>
    </row>
    <row r="20" spans="1:7">
      <c r="A20" s="78">
        <v>2046</v>
      </c>
      <c r="B20" s="79">
        <v>2972300</v>
      </c>
      <c r="C20" s="79">
        <v>2200</v>
      </c>
      <c r="D20" s="80">
        <v>2.7</v>
      </c>
      <c r="E20" s="81"/>
      <c r="F20" s="81"/>
      <c r="G20" s="81"/>
    </row>
    <row r="21" spans="1:7" ht="14.5" thickBot="1">
      <c r="A21" s="86">
        <v>2051</v>
      </c>
      <c r="B21" s="87">
        <v>2949500</v>
      </c>
      <c r="C21" s="87">
        <v>-4500</v>
      </c>
      <c r="D21" s="88">
        <v>2.7</v>
      </c>
      <c r="E21" s="81"/>
      <c r="F21" s="81"/>
      <c r="G21" s="81"/>
    </row>
    <row r="22" spans="1:7">
      <c r="A22" s="78"/>
      <c r="B22" s="79"/>
      <c r="C22" s="79"/>
      <c r="D22" s="80"/>
      <c r="E22" s="81"/>
      <c r="F22" s="81"/>
      <c r="G22" s="81"/>
    </row>
    <row r="23" spans="1:7" ht="23.5" customHeight="1">
      <c r="A23" s="89" t="s">
        <v>486</v>
      </c>
      <c r="B23" s="90" t="s">
        <v>487</v>
      </c>
      <c r="C23" s="91"/>
      <c r="D23" s="91"/>
    </row>
    <row r="24" spans="1:7" ht="83.15" customHeight="1">
      <c r="A24" s="91"/>
      <c r="B24" s="576" t="s">
        <v>488</v>
      </c>
      <c r="C24" s="577"/>
      <c r="D24" s="577"/>
    </row>
    <row r="25" spans="1:7">
      <c r="A25" s="91"/>
      <c r="B25" s="91"/>
      <c r="C25" s="91"/>
      <c r="D25" s="91"/>
    </row>
    <row r="26" spans="1:7" ht="23.5" customHeight="1">
      <c r="A26" s="91" t="s">
        <v>489</v>
      </c>
      <c r="B26" s="91" t="s">
        <v>490</v>
      </c>
      <c r="C26" s="91"/>
      <c r="D26" s="91"/>
    </row>
    <row r="27" spans="1:7" ht="78.75" customHeight="1">
      <c r="A27" s="91"/>
      <c r="B27" s="577" t="s">
        <v>491</v>
      </c>
      <c r="C27" s="577"/>
      <c r="D27" s="577"/>
    </row>
  </sheetData>
  <mergeCells count="2">
    <mergeCell ref="B24:D24"/>
    <mergeCell ref="B27:D27"/>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H42"/>
  <sheetViews>
    <sheetView topLeftCell="A12" zoomScale="142" zoomScaleNormal="100" workbookViewId="0">
      <selection activeCell="L30" sqref="L30"/>
    </sheetView>
  </sheetViews>
  <sheetFormatPr defaultColWidth="8.81640625" defaultRowHeight="14.5"/>
  <sheetData>
    <row r="1" spans="1:8" ht="21">
      <c r="A1" s="106" t="s">
        <v>492</v>
      </c>
    </row>
    <row r="2" spans="1:8">
      <c r="A2" t="s">
        <v>493</v>
      </c>
      <c r="B2" t="s">
        <v>494</v>
      </c>
    </row>
    <row r="3" spans="1:8">
      <c r="A3" t="s">
        <v>495</v>
      </c>
    </row>
    <row r="4" spans="1:8" ht="20.149999999999999" customHeight="1">
      <c r="A4" s="2" t="s">
        <v>496</v>
      </c>
      <c r="B4" s="580" t="s">
        <v>497</v>
      </c>
      <c r="C4" s="581"/>
      <c r="D4" s="582" t="s">
        <v>498</v>
      </c>
      <c r="E4" s="583"/>
      <c r="F4" s="578" t="s">
        <v>499</v>
      </c>
      <c r="G4" s="579"/>
      <c r="H4" s="7" t="s">
        <v>500</v>
      </c>
    </row>
    <row r="5" spans="1:8">
      <c r="A5" s="12">
        <v>2006</v>
      </c>
      <c r="B5" s="8">
        <v>18476</v>
      </c>
      <c r="C5" s="13">
        <v>0.34</v>
      </c>
      <c r="D5" s="16">
        <v>79</v>
      </c>
      <c r="E5" s="5">
        <v>0</v>
      </c>
      <c r="F5" s="14">
        <v>35428</v>
      </c>
      <c r="G5" s="15">
        <v>0.66</v>
      </c>
      <c r="H5" s="11">
        <v>53982</v>
      </c>
    </row>
    <row r="6" spans="1:8">
      <c r="A6" s="12">
        <v>2007</v>
      </c>
      <c r="B6" s="8">
        <v>18238</v>
      </c>
      <c r="C6" s="13">
        <v>0.33</v>
      </c>
      <c r="D6" s="16">
        <v>57</v>
      </c>
      <c r="E6" s="5">
        <v>0</v>
      </c>
      <c r="F6" s="14">
        <v>36422</v>
      </c>
      <c r="G6" s="15">
        <v>0.67</v>
      </c>
      <c r="H6" s="11">
        <v>54717</v>
      </c>
    </row>
    <row r="7" spans="1:8">
      <c r="A7" s="12">
        <v>2008</v>
      </c>
      <c r="B7" s="8">
        <v>18708</v>
      </c>
      <c r="C7" s="13">
        <v>0.33</v>
      </c>
      <c r="D7" s="16">
        <v>41</v>
      </c>
      <c r="E7" s="5">
        <v>0</v>
      </c>
      <c r="F7" s="14">
        <v>37100</v>
      </c>
      <c r="G7" s="15">
        <v>0.66</v>
      </c>
      <c r="H7" s="11">
        <v>55849</v>
      </c>
    </row>
    <row r="8" spans="1:8">
      <c r="A8" s="12">
        <v>2009</v>
      </c>
      <c r="B8" s="8">
        <v>18736</v>
      </c>
      <c r="C8" s="13">
        <v>0.32</v>
      </c>
      <c r="D8" s="16">
        <v>23</v>
      </c>
      <c r="E8" s="5">
        <v>0</v>
      </c>
      <c r="F8" s="14">
        <v>38972</v>
      </c>
      <c r="G8" s="15">
        <v>0.68</v>
      </c>
      <c r="H8" s="11">
        <v>57731</v>
      </c>
    </row>
    <row r="9" spans="1:8">
      <c r="A9" s="12">
        <v>2010</v>
      </c>
      <c r="B9" s="8">
        <v>19038</v>
      </c>
      <c r="C9" s="13">
        <v>0.33</v>
      </c>
      <c r="D9" s="16">
        <v>13</v>
      </c>
      <c r="E9" s="5">
        <v>0</v>
      </c>
      <c r="F9" s="14">
        <v>39344</v>
      </c>
      <c r="G9" s="15">
        <v>0.67</v>
      </c>
      <c r="H9" s="11">
        <v>58396</v>
      </c>
    </row>
    <row r="10" spans="1:8">
      <c r="A10" s="12">
        <v>2011</v>
      </c>
      <c r="B10" s="8">
        <v>18977</v>
      </c>
      <c r="C10" s="13">
        <v>0.32</v>
      </c>
      <c r="D10" s="16">
        <v>8</v>
      </c>
      <c r="E10" s="5">
        <v>0</v>
      </c>
      <c r="F10" s="518">
        <v>39872</v>
      </c>
      <c r="G10" s="547">
        <v>0.68</v>
      </c>
      <c r="H10" s="11">
        <v>58857</v>
      </c>
    </row>
    <row r="11" spans="1:8">
      <c r="A11" s="12">
        <v>2012</v>
      </c>
      <c r="B11" s="8">
        <v>18841</v>
      </c>
      <c r="C11" s="13">
        <v>0.31</v>
      </c>
      <c r="D11" s="16">
        <v>8</v>
      </c>
      <c r="E11" s="5">
        <v>0</v>
      </c>
      <c r="F11" s="518">
        <v>41189</v>
      </c>
      <c r="G11" s="547">
        <v>0.69</v>
      </c>
      <c r="H11" s="11">
        <v>60037</v>
      </c>
    </row>
    <row r="12" spans="1:8">
      <c r="A12" s="12">
        <v>2013</v>
      </c>
      <c r="B12" s="8">
        <v>18635</v>
      </c>
      <c r="C12" s="13">
        <v>0.32</v>
      </c>
      <c r="D12" s="16">
        <v>7</v>
      </c>
      <c r="E12" s="5">
        <v>0</v>
      </c>
      <c r="F12" s="518">
        <v>39941</v>
      </c>
      <c r="G12" s="547">
        <v>0.68</v>
      </c>
      <c r="H12" s="11">
        <v>58582</v>
      </c>
    </row>
    <row r="13" spans="1:8">
      <c r="A13" s="12">
        <v>2014</v>
      </c>
      <c r="B13" s="8">
        <v>18681</v>
      </c>
      <c r="C13" s="13">
        <v>0.3</v>
      </c>
      <c r="D13" s="16">
        <v>7</v>
      </c>
      <c r="E13" s="5">
        <v>0</v>
      </c>
      <c r="F13" s="519">
        <v>43415</v>
      </c>
      <c r="G13" s="547">
        <v>0.7</v>
      </c>
      <c r="H13" s="11">
        <v>62103</v>
      </c>
    </row>
    <row r="14" spans="1:8">
      <c r="A14" s="12">
        <v>2015</v>
      </c>
      <c r="B14" s="8">
        <v>18063</v>
      </c>
      <c r="C14" s="13">
        <v>0.3</v>
      </c>
      <c r="D14" s="16">
        <v>8</v>
      </c>
      <c r="E14" s="5">
        <v>0</v>
      </c>
      <c r="F14" s="519">
        <v>42368</v>
      </c>
      <c r="G14" s="547">
        <v>0.7</v>
      </c>
      <c r="H14" s="11">
        <v>60439</v>
      </c>
    </row>
    <row r="15" spans="1:8">
      <c r="A15" s="12">
        <v>2016</v>
      </c>
      <c r="B15" s="8">
        <v>18574</v>
      </c>
      <c r="C15" s="13">
        <v>0.3</v>
      </c>
      <c r="D15" s="16">
        <v>10</v>
      </c>
      <c r="E15" s="5">
        <v>0</v>
      </c>
      <c r="F15" s="519">
        <v>43120</v>
      </c>
      <c r="G15" s="547">
        <v>0.7</v>
      </c>
      <c r="H15" s="11">
        <v>61704</v>
      </c>
    </row>
    <row r="16" spans="1:8">
      <c r="A16" s="12">
        <v>2017</v>
      </c>
      <c r="B16" s="8">
        <v>18335</v>
      </c>
      <c r="C16" s="13">
        <v>0.3</v>
      </c>
      <c r="D16" s="517">
        <v>14</v>
      </c>
      <c r="E16" s="5">
        <v>0</v>
      </c>
      <c r="F16" s="519">
        <v>42127</v>
      </c>
      <c r="G16" s="547">
        <v>0.7</v>
      </c>
      <c r="H16" s="11">
        <v>60476</v>
      </c>
    </row>
    <row r="17" spans="1:8">
      <c r="A17" s="12">
        <v>2018</v>
      </c>
      <c r="B17" s="8">
        <v>19577</v>
      </c>
      <c r="C17" s="13">
        <v>0.32</v>
      </c>
      <c r="D17" s="517">
        <v>14</v>
      </c>
      <c r="E17" s="5">
        <v>0</v>
      </c>
      <c r="F17" s="519">
        <v>41965</v>
      </c>
      <c r="G17" s="547">
        <v>0.68</v>
      </c>
      <c r="H17" s="11">
        <v>61557</v>
      </c>
    </row>
    <row r="18" spans="1:8">
      <c r="A18" s="12">
        <v>2019</v>
      </c>
      <c r="B18" s="8">
        <v>18070</v>
      </c>
      <c r="C18" s="13">
        <v>0.3</v>
      </c>
      <c r="D18" s="517">
        <v>15</v>
      </c>
      <c r="E18" s="5">
        <v>0</v>
      </c>
      <c r="F18" s="519">
        <v>42937</v>
      </c>
      <c r="G18" s="547">
        <v>0.7</v>
      </c>
      <c r="H18" s="11">
        <v>61022</v>
      </c>
    </row>
    <row r="19" spans="1:8">
      <c r="A19" s="12">
        <v>2020</v>
      </c>
      <c r="B19" s="8">
        <v>19726</v>
      </c>
      <c r="C19" s="13">
        <v>0.3</v>
      </c>
      <c r="D19" s="517">
        <v>15</v>
      </c>
      <c r="E19" s="5">
        <v>0</v>
      </c>
      <c r="F19" s="519">
        <v>46675</v>
      </c>
      <c r="G19" s="547">
        <v>0.7</v>
      </c>
      <c r="H19" s="11">
        <v>66416</v>
      </c>
    </row>
    <row r="20" spans="1:8">
      <c r="A20" s="12">
        <v>2021</v>
      </c>
      <c r="B20" s="8">
        <v>19242</v>
      </c>
      <c r="C20" s="13">
        <v>0.28999999999999998</v>
      </c>
      <c r="D20" s="517">
        <v>15</v>
      </c>
      <c r="E20" s="5">
        <v>0</v>
      </c>
      <c r="F20" s="519">
        <v>47464</v>
      </c>
      <c r="G20" s="547">
        <v>0.7</v>
      </c>
      <c r="H20" s="11">
        <v>66721</v>
      </c>
    </row>
    <row r="23" spans="1:8" ht="21">
      <c r="A23" s="106" t="s">
        <v>501</v>
      </c>
    </row>
    <row r="24" spans="1:8">
      <c r="A24" t="s">
        <v>493</v>
      </c>
      <c r="B24" t="s">
        <v>502</v>
      </c>
    </row>
    <row r="25" spans="1:8">
      <c r="A25" t="s">
        <v>503</v>
      </c>
    </row>
    <row r="26" spans="1:8" ht="20">
      <c r="A26" s="2" t="s">
        <v>496</v>
      </c>
      <c r="B26" s="580" t="s">
        <v>497</v>
      </c>
      <c r="C26" s="581"/>
      <c r="D26" s="582" t="s">
        <v>498</v>
      </c>
      <c r="E26" s="583"/>
      <c r="F26" s="584" t="s">
        <v>499</v>
      </c>
      <c r="G26" s="585"/>
      <c r="H26" s="7" t="s">
        <v>500</v>
      </c>
    </row>
    <row r="27" spans="1:8">
      <c r="A27" s="3">
        <v>2006</v>
      </c>
      <c r="B27" s="8">
        <v>13631</v>
      </c>
      <c r="C27" s="4">
        <v>0.12</v>
      </c>
      <c r="D27" s="9">
        <v>4936</v>
      </c>
      <c r="E27" s="5">
        <v>0.04</v>
      </c>
      <c r="F27" s="6">
        <v>93317</v>
      </c>
      <c r="G27" s="10">
        <v>0.83</v>
      </c>
      <c r="H27" s="11">
        <v>111884</v>
      </c>
    </row>
    <row r="28" spans="1:8">
      <c r="A28" s="3">
        <v>2007</v>
      </c>
      <c r="B28" s="8">
        <v>13888</v>
      </c>
      <c r="C28" s="4">
        <v>0.12</v>
      </c>
      <c r="D28" s="9">
        <v>4975</v>
      </c>
      <c r="E28" s="5">
        <v>0.04</v>
      </c>
      <c r="F28" s="6">
        <v>95051</v>
      </c>
      <c r="G28" s="10">
        <v>0.83</v>
      </c>
      <c r="H28" s="11">
        <v>113914</v>
      </c>
    </row>
    <row r="29" spans="1:8">
      <c r="A29" s="3">
        <v>2008</v>
      </c>
      <c r="B29" s="8">
        <v>13471</v>
      </c>
      <c r="C29" s="4">
        <v>0.12</v>
      </c>
      <c r="D29" s="9">
        <v>4739</v>
      </c>
      <c r="E29" s="5">
        <v>0.04</v>
      </c>
      <c r="F29" s="6">
        <v>95543</v>
      </c>
      <c r="G29" s="10">
        <v>0.84</v>
      </c>
      <c r="H29" s="11">
        <v>113753</v>
      </c>
    </row>
    <row r="30" spans="1:8">
      <c r="A30" s="3">
        <v>2009</v>
      </c>
      <c r="B30" s="8">
        <v>12815</v>
      </c>
      <c r="C30" s="4">
        <v>0.11</v>
      </c>
      <c r="D30" s="9">
        <v>4753</v>
      </c>
      <c r="E30" s="5">
        <v>0.04</v>
      </c>
      <c r="F30" s="6">
        <v>96728</v>
      </c>
      <c r="G30" s="10">
        <v>0.85</v>
      </c>
      <c r="H30" s="11">
        <v>114297</v>
      </c>
    </row>
    <row r="31" spans="1:8">
      <c r="A31" s="3">
        <v>2010</v>
      </c>
      <c r="B31" s="8">
        <v>13971</v>
      </c>
      <c r="C31" s="4">
        <v>0.12</v>
      </c>
      <c r="D31" s="9">
        <v>4526</v>
      </c>
      <c r="E31" s="5">
        <v>0.04</v>
      </c>
      <c r="F31" s="6">
        <v>97894</v>
      </c>
      <c r="G31" s="10">
        <v>0.84</v>
      </c>
      <c r="H31" s="11">
        <v>116391</v>
      </c>
    </row>
    <row r="32" spans="1:8">
      <c r="A32" s="3">
        <v>2011</v>
      </c>
      <c r="B32" s="8">
        <v>14129</v>
      </c>
      <c r="C32" s="4">
        <v>0.12</v>
      </c>
      <c r="D32" s="9">
        <v>1979</v>
      </c>
      <c r="E32" s="5">
        <v>0.02</v>
      </c>
      <c r="F32" s="6">
        <v>99905</v>
      </c>
      <c r="G32" s="10">
        <v>0.86</v>
      </c>
      <c r="H32" s="11">
        <v>116013</v>
      </c>
    </row>
    <row r="33" spans="1:8">
      <c r="A33" s="3">
        <v>2012</v>
      </c>
      <c r="B33" s="8">
        <v>14280</v>
      </c>
      <c r="C33" s="4">
        <v>0.12</v>
      </c>
      <c r="D33" s="9">
        <v>1696</v>
      </c>
      <c r="E33" s="5">
        <v>0.01</v>
      </c>
      <c r="F33" s="6">
        <v>102353</v>
      </c>
      <c r="G33" s="10">
        <v>0.86</v>
      </c>
      <c r="H33" s="11">
        <v>118330</v>
      </c>
    </row>
    <row r="34" spans="1:8">
      <c r="A34" s="3">
        <v>2013</v>
      </c>
      <c r="B34" s="8">
        <v>14512</v>
      </c>
      <c r="C34" s="4">
        <v>0.12</v>
      </c>
      <c r="D34" s="9">
        <v>1477</v>
      </c>
      <c r="E34" s="5">
        <v>0.01</v>
      </c>
      <c r="F34" s="6">
        <v>102221</v>
      </c>
      <c r="G34" s="10">
        <v>0.86</v>
      </c>
      <c r="H34" s="11">
        <v>118209</v>
      </c>
    </row>
    <row r="35" spans="1:8">
      <c r="A35" s="3">
        <v>2014</v>
      </c>
      <c r="B35" s="8">
        <v>14713</v>
      </c>
      <c r="C35" s="4">
        <v>0.12</v>
      </c>
      <c r="D35" s="9">
        <v>1431</v>
      </c>
      <c r="E35" s="5">
        <v>0.01</v>
      </c>
      <c r="F35" s="6">
        <v>103471</v>
      </c>
      <c r="G35" s="10">
        <v>0.87</v>
      </c>
      <c r="H35" s="11">
        <v>119615</v>
      </c>
    </row>
    <row r="36" spans="1:8">
      <c r="A36" s="3">
        <v>2015</v>
      </c>
      <c r="B36" s="8">
        <v>14535</v>
      </c>
      <c r="C36" s="4">
        <v>0.12</v>
      </c>
      <c r="D36" s="9">
        <v>1235</v>
      </c>
      <c r="E36" s="5">
        <v>0.01</v>
      </c>
      <c r="F36" s="6">
        <v>104647</v>
      </c>
      <c r="G36" s="10">
        <v>0.87</v>
      </c>
      <c r="H36" s="11">
        <v>120417</v>
      </c>
    </row>
    <row r="37" spans="1:8">
      <c r="A37" s="3">
        <v>2016</v>
      </c>
      <c r="B37" s="8">
        <v>14601</v>
      </c>
      <c r="C37" s="4">
        <v>0.12</v>
      </c>
      <c r="D37" s="9">
        <v>1019</v>
      </c>
      <c r="E37" s="5">
        <v>0.01</v>
      </c>
      <c r="F37" s="6">
        <v>104839</v>
      </c>
      <c r="G37" s="10">
        <v>0.87</v>
      </c>
      <c r="H37" s="11">
        <v>120458</v>
      </c>
    </row>
    <row r="38" spans="1:8">
      <c r="A38" s="3">
        <v>2017</v>
      </c>
      <c r="B38" s="8">
        <v>14908</v>
      </c>
      <c r="C38" s="4">
        <v>0.12</v>
      </c>
      <c r="D38" s="9">
        <v>830</v>
      </c>
      <c r="E38" s="5">
        <v>0.01</v>
      </c>
      <c r="F38" s="6">
        <v>104669</v>
      </c>
      <c r="G38" s="10">
        <v>0.87</v>
      </c>
      <c r="H38" s="11">
        <v>120408</v>
      </c>
    </row>
    <row r="39" spans="1:8">
      <c r="A39" s="3">
        <v>2018</v>
      </c>
      <c r="B39" s="8">
        <v>15253</v>
      </c>
      <c r="C39" s="4">
        <v>0.12</v>
      </c>
      <c r="D39" s="9">
        <v>675</v>
      </c>
      <c r="E39" s="5">
        <v>0.01</v>
      </c>
      <c r="F39" s="6">
        <v>106294</v>
      </c>
      <c r="G39" s="10">
        <v>0.87</v>
      </c>
      <c r="H39" s="11">
        <v>122222</v>
      </c>
    </row>
    <row r="40" spans="1:8">
      <c r="A40" s="3">
        <v>2019</v>
      </c>
      <c r="B40" s="8">
        <v>14440</v>
      </c>
      <c r="C40" s="4">
        <v>0.12</v>
      </c>
      <c r="D40" s="9">
        <v>574</v>
      </c>
      <c r="E40" s="5">
        <v>0</v>
      </c>
      <c r="F40" s="6">
        <v>107988</v>
      </c>
      <c r="G40" s="10">
        <v>0.88</v>
      </c>
      <c r="H40" s="11">
        <v>123001</v>
      </c>
    </row>
    <row r="41" spans="1:8">
      <c r="A41" s="3">
        <v>2020</v>
      </c>
      <c r="B41" s="8">
        <v>11847</v>
      </c>
      <c r="C41" s="4">
        <v>0.1</v>
      </c>
      <c r="D41" s="9">
        <v>498</v>
      </c>
      <c r="E41" s="5">
        <v>0</v>
      </c>
      <c r="F41" s="6">
        <v>102167</v>
      </c>
      <c r="G41" s="10">
        <v>0.89</v>
      </c>
      <c r="H41" s="11">
        <v>114512</v>
      </c>
    </row>
    <row r="42" spans="1:8">
      <c r="A42" s="3">
        <v>2021</v>
      </c>
      <c r="B42" s="8">
        <v>12353</v>
      </c>
      <c r="C42" s="4">
        <v>0.1</v>
      </c>
      <c r="D42" s="9">
        <v>490</v>
      </c>
      <c r="E42" s="5">
        <v>0</v>
      </c>
      <c r="F42" s="6">
        <v>107240</v>
      </c>
      <c r="G42" s="10">
        <v>0.89</v>
      </c>
      <c r="H42" s="11">
        <v>120083</v>
      </c>
    </row>
  </sheetData>
  <mergeCells count="6">
    <mergeCell ref="F4:G4"/>
    <mergeCell ref="B4:C4"/>
    <mergeCell ref="D4:E4"/>
    <mergeCell ref="B26:C26"/>
    <mergeCell ref="D26:E26"/>
    <mergeCell ref="F26:G26"/>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zoomScale="125" workbookViewId="0">
      <selection activeCell="F11" sqref="F11"/>
    </sheetView>
  </sheetViews>
  <sheetFormatPr defaultColWidth="8.81640625" defaultRowHeight="14.5"/>
  <sheetData>
    <row r="1" spans="1:8" ht="21">
      <c r="A1" s="106" t="s">
        <v>501</v>
      </c>
    </row>
    <row r="2" spans="1:8">
      <c r="A2" t="s">
        <v>493</v>
      </c>
      <c r="B2" t="s">
        <v>494</v>
      </c>
    </row>
    <row r="3" spans="1:8">
      <c r="A3" t="s">
        <v>503</v>
      </c>
    </row>
    <row r="4" spans="1:8" ht="20">
      <c r="A4" s="2" t="s">
        <v>496</v>
      </c>
      <c r="B4" s="580" t="s">
        <v>497</v>
      </c>
      <c r="C4" s="581"/>
      <c r="D4" s="582" t="s">
        <v>498</v>
      </c>
      <c r="E4" s="583"/>
      <c r="F4" s="584" t="s">
        <v>499</v>
      </c>
      <c r="G4" s="585"/>
      <c r="H4" s="7" t="s">
        <v>500</v>
      </c>
    </row>
    <row r="5" spans="1:8">
      <c r="A5" s="3">
        <v>2006</v>
      </c>
      <c r="B5" s="8">
        <v>13631</v>
      </c>
      <c r="C5" s="4">
        <v>0.12</v>
      </c>
      <c r="D5" s="9">
        <v>4936</v>
      </c>
      <c r="E5" s="5">
        <v>0.04</v>
      </c>
      <c r="F5" s="6">
        <v>93317</v>
      </c>
      <c r="G5" s="10">
        <v>0.86</v>
      </c>
      <c r="H5" s="11">
        <v>111884</v>
      </c>
    </row>
    <row r="6" spans="1:8">
      <c r="A6" s="3">
        <v>2007</v>
      </c>
      <c r="B6" s="8">
        <v>13888</v>
      </c>
      <c r="C6" s="4">
        <v>0.12</v>
      </c>
      <c r="D6" s="9">
        <v>4975</v>
      </c>
      <c r="E6" s="5">
        <v>0.04</v>
      </c>
      <c r="F6" s="6">
        <v>95051</v>
      </c>
      <c r="G6" s="10">
        <v>0.86</v>
      </c>
      <c r="H6" s="11">
        <v>113914</v>
      </c>
    </row>
    <row r="7" spans="1:8">
      <c r="A7" s="3">
        <v>2008</v>
      </c>
      <c r="B7" s="8">
        <v>13471</v>
      </c>
      <c r="C7" s="4">
        <v>0.12</v>
      </c>
      <c r="D7" s="9">
        <v>4739</v>
      </c>
      <c r="E7" s="5">
        <v>0.04</v>
      </c>
      <c r="F7" s="6">
        <v>95543</v>
      </c>
      <c r="G7" s="10">
        <v>0.86</v>
      </c>
      <c r="H7" s="11">
        <v>113753</v>
      </c>
    </row>
    <row r="8" spans="1:8">
      <c r="A8" s="3">
        <v>2009</v>
      </c>
      <c r="B8" s="8">
        <v>12815</v>
      </c>
      <c r="C8" s="4">
        <v>0.11</v>
      </c>
      <c r="D8" s="9">
        <v>4753</v>
      </c>
      <c r="E8" s="5">
        <v>0.04</v>
      </c>
      <c r="F8" s="6">
        <v>96728</v>
      </c>
      <c r="G8" s="10">
        <v>0.87</v>
      </c>
      <c r="H8" s="11">
        <v>114297</v>
      </c>
    </row>
    <row r="9" spans="1:8">
      <c r="A9" s="3">
        <v>2010</v>
      </c>
      <c r="B9" s="8">
        <v>13971</v>
      </c>
      <c r="C9" s="4">
        <v>0.12</v>
      </c>
      <c r="D9" s="9">
        <v>4526</v>
      </c>
      <c r="E9" s="5">
        <v>0.04</v>
      </c>
      <c r="F9" s="6">
        <v>97894</v>
      </c>
      <c r="G9" s="10">
        <v>0.87</v>
      </c>
      <c r="H9" s="11">
        <v>116391</v>
      </c>
    </row>
    <row r="10" spans="1:8">
      <c r="A10" s="3">
        <v>2011</v>
      </c>
      <c r="B10" s="8">
        <v>14129</v>
      </c>
      <c r="C10" s="4">
        <v>0.12</v>
      </c>
      <c r="D10" s="9">
        <v>1979</v>
      </c>
      <c r="E10" s="5">
        <v>0.02</v>
      </c>
      <c r="F10" s="6">
        <v>99905</v>
      </c>
      <c r="G10" s="10">
        <v>0.87</v>
      </c>
      <c r="H10" s="11">
        <v>116013</v>
      </c>
    </row>
    <row r="11" spans="1:8">
      <c r="A11" s="3">
        <v>2012</v>
      </c>
      <c r="B11" s="8">
        <v>14280</v>
      </c>
      <c r="C11" s="4">
        <v>0.12</v>
      </c>
      <c r="D11" s="9">
        <v>1696</v>
      </c>
      <c r="E11" s="5">
        <v>0.01</v>
      </c>
      <c r="F11" s="6">
        <v>102353</v>
      </c>
      <c r="G11" s="10">
        <v>0.87</v>
      </c>
      <c r="H11" s="11">
        <v>118330</v>
      </c>
    </row>
    <row r="12" spans="1:8">
      <c r="A12" s="3">
        <v>2013</v>
      </c>
      <c r="B12" s="8">
        <v>14512</v>
      </c>
      <c r="C12" s="4">
        <v>0.12</v>
      </c>
      <c r="D12" s="9">
        <v>1477</v>
      </c>
      <c r="E12" s="5">
        <v>0.01</v>
      </c>
      <c r="F12" s="6">
        <v>102221</v>
      </c>
      <c r="G12" s="10">
        <v>0.87</v>
      </c>
      <c r="H12" s="11">
        <v>118209</v>
      </c>
    </row>
    <row r="13" spans="1:8">
      <c r="A13" s="3">
        <v>2014</v>
      </c>
      <c r="B13" s="8">
        <v>14713</v>
      </c>
      <c r="C13" s="4">
        <v>0.12</v>
      </c>
      <c r="D13" s="9">
        <v>1431</v>
      </c>
      <c r="E13" s="5">
        <v>0.01</v>
      </c>
      <c r="F13" s="6">
        <v>103471</v>
      </c>
      <c r="G13" s="10">
        <v>0.87</v>
      </c>
      <c r="H13" s="11">
        <v>119615</v>
      </c>
    </row>
    <row r="14" spans="1:8">
      <c r="A14" s="3">
        <v>2015</v>
      </c>
      <c r="B14" s="8">
        <v>14535</v>
      </c>
      <c r="C14" s="4">
        <v>0.12</v>
      </c>
      <c r="D14" s="9">
        <v>1235</v>
      </c>
      <c r="E14" s="5">
        <v>0.01</v>
      </c>
      <c r="F14" s="6">
        <v>104647</v>
      </c>
      <c r="G14" s="10">
        <v>0.87</v>
      </c>
      <c r="H14" s="11">
        <v>120417</v>
      </c>
    </row>
    <row r="15" spans="1:8">
      <c r="A15" s="3">
        <v>2016</v>
      </c>
      <c r="B15" s="8">
        <v>14601</v>
      </c>
      <c r="C15" s="4">
        <v>0.12</v>
      </c>
      <c r="D15" s="9">
        <v>1019</v>
      </c>
      <c r="E15" s="5">
        <v>0.01</v>
      </c>
      <c r="F15" s="6">
        <v>104839</v>
      </c>
      <c r="G15" s="10">
        <v>0.87</v>
      </c>
      <c r="H15" s="11">
        <v>120458</v>
      </c>
    </row>
    <row r="16" spans="1:8">
      <c r="A16" s="3">
        <v>2017</v>
      </c>
      <c r="B16" s="8">
        <v>14908</v>
      </c>
      <c r="C16" s="4">
        <v>0.12</v>
      </c>
      <c r="D16" s="544">
        <v>830</v>
      </c>
      <c r="E16" s="5">
        <v>0.01</v>
      </c>
      <c r="F16" s="545">
        <v>104669</v>
      </c>
      <c r="G16" s="546">
        <v>0.87</v>
      </c>
      <c r="H16" s="543">
        <v>120408</v>
      </c>
    </row>
    <row r="17" spans="1:8">
      <c r="A17" s="3">
        <v>2018</v>
      </c>
      <c r="B17" s="8">
        <v>15254</v>
      </c>
      <c r="C17" s="4">
        <v>0.12</v>
      </c>
      <c r="D17" s="544">
        <v>675</v>
      </c>
      <c r="E17" s="5">
        <v>0.01</v>
      </c>
      <c r="F17" s="545">
        <v>106291</v>
      </c>
      <c r="G17" s="546">
        <v>0.87</v>
      </c>
      <c r="H17" s="543">
        <v>122220</v>
      </c>
    </row>
    <row r="18" spans="1:8">
      <c r="A18" s="3">
        <v>2019</v>
      </c>
      <c r="B18" s="8">
        <v>14440</v>
      </c>
      <c r="C18" s="4">
        <v>0.12</v>
      </c>
      <c r="D18" s="544">
        <v>574</v>
      </c>
      <c r="E18" s="5">
        <v>0</v>
      </c>
      <c r="F18" s="545">
        <v>107988</v>
      </c>
      <c r="G18" s="546">
        <v>0.88</v>
      </c>
      <c r="H18" s="543">
        <v>123001</v>
      </c>
    </row>
    <row r="19" spans="1:8">
      <c r="A19" s="3">
        <v>2020</v>
      </c>
      <c r="B19" s="8">
        <v>11847</v>
      </c>
      <c r="C19" s="4">
        <v>0.1</v>
      </c>
      <c r="D19" s="544">
        <v>498</v>
      </c>
      <c r="E19" s="5">
        <v>0</v>
      </c>
      <c r="F19" s="545">
        <v>102167</v>
      </c>
      <c r="G19" s="546">
        <v>0.89</v>
      </c>
      <c r="H19" s="543">
        <v>114512</v>
      </c>
    </row>
    <row r="20" spans="1:8">
      <c r="A20" s="3">
        <v>2021</v>
      </c>
      <c r="B20" s="8">
        <v>12353</v>
      </c>
      <c r="C20" s="4">
        <v>0.1</v>
      </c>
      <c r="D20" s="544">
        <v>490</v>
      </c>
      <c r="E20" s="5">
        <v>0</v>
      </c>
      <c r="F20" s="545">
        <v>107240</v>
      </c>
      <c r="G20" s="546">
        <v>0.89</v>
      </c>
      <c r="H20" s="543">
        <v>120083</v>
      </c>
    </row>
  </sheetData>
  <mergeCells count="3">
    <mergeCell ref="F4:G4"/>
    <mergeCell ref="B4:C4"/>
    <mergeCell ref="D4:E4"/>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71"/>
  <sheetViews>
    <sheetView topLeftCell="A38" zoomScale="125" workbookViewId="0">
      <selection activeCell="S64" sqref="S64"/>
    </sheetView>
  </sheetViews>
  <sheetFormatPr defaultColWidth="8.81640625" defaultRowHeight="14.5"/>
  <cols>
    <col min="3" max="3" width="16.26953125" bestFit="1" customWidth="1"/>
    <col min="8" max="8" width="11.81640625" customWidth="1"/>
    <col min="17" max="17" width="14.26953125" customWidth="1"/>
    <col min="25" max="25" width="7.453125" customWidth="1"/>
  </cols>
  <sheetData>
    <row r="1" spans="1:15" ht="18.5">
      <c r="A1" s="105" t="s">
        <v>504</v>
      </c>
    </row>
    <row r="2" spans="1:15">
      <c r="A2" t="s">
        <v>493</v>
      </c>
      <c r="B2" t="s">
        <v>505</v>
      </c>
      <c r="D2" t="s">
        <v>506</v>
      </c>
    </row>
    <row r="4" spans="1:15">
      <c r="B4" s="32" t="s">
        <v>507</v>
      </c>
      <c r="C4" s="33"/>
      <c r="D4" s="34"/>
      <c r="E4" s="35"/>
      <c r="G4" s="32" t="s">
        <v>508</v>
      </c>
      <c r="H4" s="33"/>
      <c r="I4" s="33"/>
      <c r="J4" s="33"/>
      <c r="K4" s="33"/>
      <c r="L4" s="33"/>
      <c r="M4" s="33"/>
      <c r="N4" s="33"/>
      <c r="O4" s="36"/>
    </row>
    <row r="5" spans="1:15">
      <c r="B5" s="23" t="s">
        <v>509</v>
      </c>
      <c r="E5" s="24"/>
      <c r="G5" s="23" t="s">
        <v>509</v>
      </c>
      <c r="O5" s="24"/>
    </row>
    <row r="6" spans="1:15">
      <c r="B6" s="23"/>
      <c r="D6">
        <v>2016</v>
      </c>
      <c r="E6" s="24">
        <v>2021</v>
      </c>
      <c r="G6" s="23"/>
      <c r="H6" t="s">
        <v>510</v>
      </c>
      <c r="I6" t="s">
        <v>511</v>
      </c>
      <c r="J6" t="s">
        <v>512</v>
      </c>
      <c r="K6" t="s">
        <v>513</v>
      </c>
      <c r="L6" t="s">
        <v>514</v>
      </c>
      <c r="M6" t="s">
        <v>515</v>
      </c>
      <c r="N6" t="s">
        <v>516</v>
      </c>
      <c r="O6" s="24" t="s">
        <v>517</v>
      </c>
    </row>
    <row r="7" spans="1:15">
      <c r="B7" s="23" t="s">
        <v>518</v>
      </c>
      <c r="C7" t="s">
        <v>510</v>
      </c>
      <c r="D7" s="17">
        <v>0.25</v>
      </c>
      <c r="E7" s="147">
        <v>0.28000000000000003</v>
      </c>
      <c r="G7" s="23">
        <v>2005</v>
      </c>
      <c r="H7" s="17">
        <v>0.23</v>
      </c>
      <c r="I7" s="17">
        <v>0.21</v>
      </c>
      <c r="J7" s="17">
        <v>0.08</v>
      </c>
      <c r="K7" s="17">
        <v>0.11</v>
      </c>
      <c r="L7" s="17">
        <v>0.08</v>
      </c>
      <c r="M7" s="17">
        <v>0.26</v>
      </c>
      <c r="N7" s="17">
        <v>0.03</v>
      </c>
      <c r="O7" s="25">
        <f>SUM(H7:N7)</f>
        <v>1</v>
      </c>
    </row>
    <row r="8" spans="1:15">
      <c r="B8" s="23" t="s">
        <v>519</v>
      </c>
      <c r="C8" t="s">
        <v>511</v>
      </c>
      <c r="D8" s="17">
        <v>0.18</v>
      </c>
      <c r="E8" s="25">
        <v>0.23</v>
      </c>
      <c r="G8" s="23">
        <v>2006</v>
      </c>
      <c r="H8" s="17">
        <v>0.22</v>
      </c>
      <c r="I8" s="17">
        <v>0.2</v>
      </c>
      <c r="J8" s="17">
        <v>0.08</v>
      </c>
      <c r="K8" s="17">
        <v>0.11</v>
      </c>
      <c r="L8" s="17">
        <v>0.09</v>
      </c>
      <c r="M8" s="17">
        <v>0.26</v>
      </c>
      <c r="N8" s="17">
        <v>0.04</v>
      </c>
      <c r="O8" s="25">
        <f>SUM(H8:N8)</f>
        <v>1</v>
      </c>
    </row>
    <row r="9" spans="1:15">
      <c r="B9" s="23" t="s">
        <v>520</v>
      </c>
      <c r="C9" t="s">
        <v>512</v>
      </c>
      <c r="D9" s="17">
        <v>0.06</v>
      </c>
      <c r="E9" s="25">
        <v>0.04</v>
      </c>
      <c r="G9" s="23">
        <v>2007</v>
      </c>
      <c r="H9" s="19" t="s">
        <v>521</v>
      </c>
      <c r="I9" s="19"/>
      <c r="J9" s="19"/>
      <c r="K9" s="19"/>
      <c r="L9" s="19"/>
      <c r="M9" s="19"/>
      <c r="N9" s="19"/>
      <c r="O9" s="31"/>
    </row>
    <row r="10" spans="1:15">
      <c r="B10" s="23" t="s">
        <v>522</v>
      </c>
      <c r="C10" t="s">
        <v>513</v>
      </c>
      <c r="D10" s="17">
        <v>0.09</v>
      </c>
      <c r="E10" s="25">
        <v>0.05</v>
      </c>
      <c r="G10" s="23">
        <v>2008</v>
      </c>
      <c r="H10" s="19" t="s">
        <v>523</v>
      </c>
      <c r="I10" s="19"/>
      <c r="J10" s="19"/>
      <c r="K10" s="19"/>
      <c r="L10" s="19"/>
      <c r="M10" s="19"/>
      <c r="N10" s="19"/>
      <c r="O10" s="31"/>
    </row>
    <row r="11" spans="1:15">
      <c r="B11" s="23" t="s">
        <v>524</v>
      </c>
      <c r="C11" t="s">
        <v>514</v>
      </c>
      <c r="D11" s="17">
        <v>0.11</v>
      </c>
      <c r="E11" s="25">
        <v>0.06</v>
      </c>
      <c r="G11" s="23">
        <v>2009</v>
      </c>
      <c r="H11" s="30"/>
      <c r="I11" s="30"/>
      <c r="J11" s="30"/>
      <c r="K11" s="30"/>
      <c r="L11" s="30"/>
      <c r="M11" s="30"/>
      <c r="N11" s="30"/>
      <c r="O11" s="31"/>
    </row>
    <row r="12" spans="1:15">
      <c r="B12" s="23" t="s">
        <v>525</v>
      </c>
      <c r="C12" t="s">
        <v>515</v>
      </c>
      <c r="D12" s="17">
        <v>0.24</v>
      </c>
      <c r="E12" s="25">
        <v>0.26</v>
      </c>
      <c r="G12" s="23">
        <v>2010</v>
      </c>
      <c r="H12" s="19"/>
      <c r="I12" s="19"/>
      <c r="J12" s="19"/>
      <c r="K12" s="19"/>
      <c r="L12" s="19"/>
      <c r="M12" s="19"/>
      <c r="N12" s="19"/>
      <c r="O12" s="31"/>
    </row>
    <row r="13" spans="1:15">
      <c r="B13" s="23" t="s">
        <v>526</v>
      </c>
      <c r="C13" t="s">
        <v>516</v>
      </c>
      <c r="D13" s="17">
        <v>7.0000000000000007E-2</v>
      </c>
      <c r="E13" s="25">
        <v>0.08</v>
      </c>
      <c r="G13" s="23">
        <v>2011</v>
      </c>
      <c r="H13" s="17">
        <v>0.23</v>
      </c>
      <c r="I13" s="17">
        <v>0.19</v>
      </c>
      <c r="J13" s="17">
        <v>7.0000000000000007E-2</v>
      </c>
      <c r="K13" s="17">
        <v>0.1</v>
      </c>
      <c r="L13" s="17">
        <v>0.1</v>
      </c>
      <c r="M13" s="17">
        <v>0.25</v>
      </c>
      <c r="N13" s="17">
        <v>0.06</v>
      </c>
      <c r="O13" s="25">
        <f t="shared" ref="O13:O17" si="0">SUM(H13:N13)</f>
        <v>1</v>
      </c>
    </row>
    <row r="14" spans="1:15">
      <c r="B14" s="23" t="s">
        <v>517</v>
      </c>
      <c r="D14" s="17">
        <f>SUM(D7:D13)</f>
        <v>1</v>
      </c>
      <c r="E14" s="25">
        <f>SUM(E7:E13)</f>
        <v>1.0000000000000002</v>
      </c>
      <c r="G14" s="23">
        <v>2012</v>
      </c>
      <c r="H14" s="17">
        <v>0.23</v>
      </c>
      <c r="I14" s="17">
        <v>0.19</v>
      </c>
      <c r="J14" s="17">
        <v>7.0000000000000007E-2</v>
      </c>
      <c r="K14" s="17">
        <v>0.09</v>
      </c>
      <c r="L14" s="17">
        <v>0.1</v>
      </c>
      <c r="M14" s="17">
        <v>0.26</v>
      </c>
      <c r="N14" s="17">
        <v>0.06</v>
      </c>
      <c r="O14" s="25">
        <f t="shared" si="0"/>
        <v>1</v>
      </c>
    </row>
    <row r="15" spans="1:15">
      <c r="B15" s="23"/>
      <c r="D15" s="17"/>
      <c r="E15" s="25"/>
      <c r="G15" s="23">
        <v>2013</v>
      </c>
      <c r="H15" s="17">
        <v>0.21</v>
      </c>
      <c r="I15" s="17">
        <v>0.19</v>
      </c>
      <c r="J15" s="17">
        <v>7.0000000000000007E-2</v>
      </c>
      <c r="K15" s="17">
        <v>0.09</v>
      </c>
      <c r="L15" s="17">
        <v>0.11</v>
      </c>
      <c r="M15" s="17">
        <v>0.26</v>
      </c>
      <c r="N15" s="17">
        <v>7.0000000000000007E-2</v>
      </c>
      <c r="O15" s="25">
        <f t="shared" si="0"/>
        <v>1</v>
      </c>
    </row>
    <row r="16" spans="1:15">
      <c r="B16" s="23"/>
      <c r="E16" s="24"/>
      <c r="G16" s="23">
        <v>2014</v>
      </c>
      <c r="H16" s="17">
        <v>0.25</v>
      </c>
      <c r="I16" s="17">
        <v>0.18</v>
      </c>
      <c r="J16" s="17">
        <v>0.06</v>
      </c>
      <c r="K16" s="17">
        <v>0.09</v>
      </c>
      <c r="L16" s="17">
        <v>0.1</v>
      </c>
      <c r="M16" s="17">
        <v>0.25</v>
      </c>
      <c r="N16" s="17">
        <v>7.0000000000000007E-2</v>
      </c>
      <c r="O16" s="25">
        <f t="shared" si="0"/>
        <v>1</v>
      </c>
    </row>
    <row r="17" spans="2:15">
      <c r="B17" s="23"/>
      <c r="D17" s="17"/>
      <c r="E17" s="25"/>
      <c r="G17" s="23">
        <v>2015</v>
      </c>
      <c r="H17" s="17">
        <v>0.25</v>
      </c>
      <c r="I17" s="17">
        <v>0.18</v>
      </c>
      <c r="J17" s="17">
        <v>0.06</v>
      </c>
      <c r="K17" s="17">
        <v>0.1</v>
      </c>
      <c r="L17" s="17">
        <v>0.1</v>
      </c>
      <c r="M17" s="17">
        <v>0.24</v>
      </c>
      <c r="N17" s="17">
        <v>7.0000000000000007E-2</v>
      </c>
      <c r="O17" s="25">
        <f t="shared" si="0"/>
        <v>1</v>
      </c>
    </row>
    <row r="18" spans="2:15">
      <c r="B18" s="23"/>
      <c r="D18" s="17"/>
      <c r="E18" s="25"/>
      <c r="G18" s="23">
        <v>2016</v>
      </c>
      <c r="H18" s="17">
        <v>0.27</v>
      </c>
      <c r="I18" s="17">
        <v>0.24</v>
      </c>
      <c r="J18" s="17">
        <v>0.04</v>
      </c>
      <c r="K18" s="17">
        <v>0.05</v>
      </c>
      <c r="L18" s="17">
        <v>0.06</v>
      </c>
      <c r="M18" s="17">
        <v>0.26</v>
      </c>
      <c r="N18" s="17">
        <v>0.08</v>
      </c>
      <c r="O18" s="25">
        <f>SUM(H18:N18)</f>
        <v>1.0000000000000002</v>
      </c>
    </row>
    <row r="19" spans="2:15">
      <c r="B19" s="23"/>
      <c r="D19" s="17"/>
      <c r="E19" s="25"/>
      <c r="G19" s="23">
        <v>2017</v>
      </c>
      <c r="H19" s="17">
        <v>0.26</v>
      </c>
      <c r="I19" s="17">
        <v>0.24</v>
      </c>
      <c r="J19" s="17">
        <v>0.04</v>
      </c>
      <c r="K19" s="17">
        <v>0.05</v>
      </c>
      <c r="L19" s="17">
        <v>0.06</v>
      </c>
      <c r="M19" s="17">
        <v>0.27</v>
      </c>
      <c r="N19" s="17">
        <v>0.08</v>
      </c>
      <c r="O19" s="25">
        <f>SUM(H19:N19)</f>
        <v>1.0000000000000002</v>
      </c>
    </row>
    <row r="20" spans="2:15">
      <c r="B20" s="23"/>
      <c r="D20" s="17"/>
      <c r="E20" s="25"/>
      <c r="G20" s="23">
        <v>2018</v>
      </c>
      <c r="H20" s="17">
        <v>0.26</v>
      </c>
      <c r="I20" s="17">
        <v>0.24</v>
      </c>
      <c r="J20" s="17">
        <v>0.04</v>
      </c>
      <c r="K20" s="17">
        <v>0.05</v>
      </c>
      <c r="L20" s="17">
        <v>0.06</v>
      </c>
      <c r="M20" s="17">
        <v>0.27</v>
      </c>
      <c r="N20" s="17">
        <v>0.08</v>
      </c>
      <c r="O20" s="25">
        <f t="shared" ref="O20:O23" si="1">SUM(H20:N20)</f>
        <v>1.0000000000000002</v>
      </c>
    </row>
    <row r="21" spans="2:15">
      <c r="B21" s="23"/>
      <c r="D21" s="17"/>
      <c r="E21" s="25"/>
      <c r="G21" s="23">
        <v>2019</v>
      </c>
      <c r="H21" s="17">
        <v>0.26</v>
      </c>
      <c r="I21" s="17">
        <v>0.23</v>
      </c>
      <c r="J21" s="17">
        <v>0.04</v>
      </c>
      <c r="K21" s="17">
        <v>0.05</v>
      </c>
      <c r="L21" s="17">
        <v>0.06</v>
      </c>
      <c r="M21" s="17">
        <v>0.27</v>
      </c>
      <c r="N21" s="17">
        <v>0.09</v>
      </c>
      <c r="O21" s="25">
        <f t="shared" si="1"/>
        <v>1.0000000000000002</v>
      </c>
    </row>
    <row r="22" spans="2:15">
      <c r="B22" s="23"/>
      <c r="D22" s="17"/>
      <c r="E22" s="25"/>
      <c r="G22" s="23">
        <v>2020</v>
      </c>
      <c r="H22" s="17">
        <v>0.27</v>
      </c>
      <c r="I22" s="17">
        <v>0.23</v>
      </c>
      <c r="J22" s="17">
        <v>0.04</v>
      </c>
      <c r="K22" s="17">
        <v>0.05</v>
      </c>
      <c r="L22" s="17">
        <v>0.06</v>
      </c>
      <c r="M22" s="17">
        <v>0.26</v>
      </c>
      <c r="N22" s="17">
        <v>0.08</v>
      </c>
      <c r="O22" s="25">
        <f t="shared" si="1"/>
        <v>0.9900000000000001</v>
      </c>
    </row>
    <row r="23" spans="2:15">
      <c r="B23" s="23"/>
      <c r="D23" s="17"/>
      <c r="E23" s="25"/>
      <c r="G23" s="23">
        <v>2021</v>
      </c>
      <c r="H23" s="17">
        <v>0.28000000000000003</v>
      </c>
      <c r="I23" s="17">
        <v>0.23</v>
      </c>
      <c r="J23" s="17">
        <v>0.04</v>
      </c>
      <c r="K23" s="17">
        <v>0.05</v>
      </c>
      <c r="L23" s="17">
        <v>0.06</v>
      </c>
      <c r="M23" s="17">
        <v>0.26</v>
      </c>
      <c r="N23" s="17">
        <v>0.08</v>
      </c>
      <c r="O23" s="25">
        <f t="shared" si="1"/>
        <v>1.0000000000000002</v>
      </c>
    </row>
    <row r="24" spans="2:15">
      <c r="B24" s="23"/>
      <c r="D24" s="17"/>
      <c r="E24" s="25"/>
      <c r="G24" s="23"/>
      <c r="O24" s="24"/>
    </row>
    <row r="25" spans="2:15">
      <c r="B25" s="23"/>
      <c r="E25" s="24"/>
      <c r="G25" s="23" t="s">
        <v>527</v>
      </c>
      <c r="O25" s="24"/>
    </row>
    <row r="26" spans="2:15">
      <c r="B26" s="23" t="s">
        <v>527</v>
      </c>
      <c r="E26" s="24"/>
      <c r="G26" s="23"/>
      <c r="H26" t="s">
        <v>510</v>
      </c>
      <c r="I26" t="s">
        <v>511</v>
      </c>
      <c r="J26" t="s">
        <v>512</v>
      </c>
      <c r="K26" t="s">
        <v>513</v>
      </c>
      <c r="L26" t="s">
        <v>514</v>
      </c>
      <c r="M26" t="s">
        <v>515</v>
      </c>
      <c r="N26" t="s">
        <v>516</v>
      </c>
      <c r="O26" s="24" t="s">
        <v>517</v>
      </c>
    </row>
    <row r="27" spans="2:15">
      <c r="B27" s="23"/>
      <c r="D27">
        <v>2016</v>
      </c>
      <c r="E27" s="24">
        <v>2021</v>
      </c>
      <c r="G27" s="23">
        <v>2005</v>
      </c>
      <c r="H27" s="17">
        <v>0.35</v>
      </c>
      <c r="I27" s="17">
        <v>0.1</v>
      </c>
      <c r="J27" s="17">
        <v>0.12</v>
      </c>
      <c r="K27" s="17">
        <v>0.16</v>
      </c>
      <c r="L27" s="17">
        <v>0.13</v>
      </c>
      <c r="M27" s="17">
        <v>0.09</v>
      </c>
      <c r="N27" s="17">
        <v>0.05</v>
      </c>
      <c r="O27" s="25">
        <f>SUM(H27:N27)</f>
        <v>1</v>
      </c>
    </row>
    <row r="28" spans="2:15">
      <c r="B28" s="23" t="s">
        <v>518</v>
      </c>
      <c r="C28" t="s">
        <v>510</v>
      </c>
      <c r="D28" s="17">
        <v>0.35</v>
      </c>
      <c r="E28" s="25">
        <v>0.39</v>
      </c>
      <c r="G28" s="23">
        <v>2006</v>
      </c>
      <c r="H28" s="17">
        <v>0.34</v>
      </c>
      <c r="I28" s="17">
        <v>0.11</v>
      </c>
      <c r="J28" s="17">
        <v>0.12</v>
      </c>
      <c r="K28" s="17">
        <v>0.16</v>
      </c>
      <c r="L28" s="17">
        <v>0.13</v>
      </c>
      <c r="M28" s="17">
        <v>0.09</v>
      </c>
      <c r="N28" s="17">
        <v>0.05</v>
      </c>
      <c r="O28" s="25">
        <f>SUM(H28:N28)</f>
        <v>1</v>
      </c>
    </row>
    <row r="29" spans="2:15">
      <c r="B29" s="23" t="s">
        <v>519</v>
      </c>
      <c r="C29" t="s">
        <v>511</v>
      </c>
      <c r="D29" s="17">
        <v>0.08</v>
      </c>
      <c r="E29" s="25">
        <v>0.11</v>
      </c>
      <c r="G29" s="23">
        <v>2007</v>
      </c>
      <c r="H29" s="19" t="s">
        <v>528</v>
      </c>
      <c r="I29" s="19"/>
      <c r="J29" s="19"/>
      <c r="K29" s="19"/>
      <c r="L29" s="19"/>
      <c r="M29" s="19"/>
      <c r="N29" s="19"/>
      <c r="O29" s="31"/>
    </row>
    <row r="30" spans="2:15">
      <c r="B30" s="23" t="s">
        <v>520</v>
      </c>
      <c r="C30" t="s">
        <v>512</v>
      </c>
      <c r="D30" s="17">
        <v>0.09</v>
      </c>
      <c r="E30" s="25">
        <v>0.05</v>
      </c>
      <c r="G30" s="23">
        <v>2008</v>
      </c>
      <c r="H30" s="19"/>
      <c r="I30" s="19"/>
      <c r="J30" s="19"/>
      <c r="K30" s="19"/>
      <c r="L30" s="19"/>
      <c r="M30" s="19"/>
      <c r="N30" s="19"/>
      <c r="O30" s="31"/>
    </row>
    <row r="31" spans="2:15">
      <c r="B31" s="23" t="s">
        <v>522</v>
      </c>
      <c r="C31" t="s">
        <v>513</v>
      </c>
      <c r="D31" s="17">
        <v>0.14000000000000001</v>
      </c>
      <c r="E31" s="25">
        <v>0.08</v>
      </c>
      <c r="G31" s="23">
        <v>2009</v>
      </c>
      <c r="H31" s="19"/>
      <c r="I31" s="19"/>
      <c r="J31" s="19"/>
      <c r="K31" s="19"/>
      <c r="L31" s="19"/>
      <c r="M31" s="19"/>
      <c r="N31" s="19"/>
      <c r="O31" s="31"/>
    </row>
    <row r="32" spans="2:15">
      <c r="B32" s="23" t="s">
        <v>524</v>
      </c>
      <c r="C32" t="s">
        <v>514</v>
      </c>
      <c r="D32" s="17">
        <v>0.15</v>
      </c>
      <c r="E32" s="25">
        <v>0.08</v>
      </c>
      <c r="G32" s="23">
        <v>2010</v>
      </c>
      <c r="H32" s="19"/>
      <c r="I32" s="19"/>
      <c r="J32" s="19"/>
      <c r="K32" s="19"/>
      <c r="L32" s="19"/>
      <c r="M32" s="19"/>
      <c r="N32" s="19"/>
      <c r="O32" s="31"/>
    </row>
    <row r="33" spans="2:22">
      <c r="B33" s="23" t="s">
        <v>525</v>
      </c>
      <c r="C33" t="s">
        <v>515</v>
      </c>
      <c r="D33" s="17">
        <v>0.09</v>
      </c>
      <c r="E33" s="25">
        <v>0.17</v>
      </c>
      <c r="G33" s="23">
        <v>2011</v>
      </c>
      <c r="H33" s="19"/>
      <c r="I33" s="19"/>
      <c r="J33" s="19"/>
      <c r="K33" s="19"/>
      <c r="L33" s="19"/>
      <c r="M33" s="19"/>
      <c r="N33" s="19"/>
      <c r="O33" s="31"/>
    </row>
    <row r="34" spans="2:22">
      <c r="B34" s="23" t="s">
        <v>526</v>
      </c>
      <c r="C34" t="s">
        <v>516</v>
      </c>
      <c r="D34" s="17">
        <v>0.1</v>
      </c>
      <c r="E34" s="25">
        <v>0.11</v>
      </c>
      <c r="G34" s="23">
        <v>2012</v>
      </c>
      <c r="H34" s="17">
        <v>0.34</v>
      </c>
      <c r="I34" s="17">
        <v>0.08</v>
      </c>
      <c r="J34" s="17">
        <v>0.1</v>
      </c>
      <c r="K34" s="17">
        <v>0.14000000000000001</v>
      </c>
      <c r="L34" s="17">
        <v>0.15</v>
      </c>
      <c r="M34" s="17">
        <v>0.09</v>
      </c>
      <c r="N34" s="17">
        <v>0.1</v>
      </c>
      <c r="O34" s="25">
        <f>SUM(H34:N34)</f>
        <v>1</v>
      </c>
    </row>
    <row r="35" spans="2:22">
      <c r="B35" s="26" t="s">
        <v>517</v>
      </c>
      <c r="C35" s="27"/>
      <c r="D35" s="28">
        <f>SUM(D28:D34)</f>
        <v>1</v>
      </c>
      <c r="E35" s="29">
        <f>SUM(E28:E34)</f>
        <v>0.99</v>
      </c>
      <c r="G35" s="23">
        <v>2013</v>
      </c>
      <c r="H35" s="17">
        <v>0.31</v>
      </c>
      <c r="I35" s="17">
        <v>0.09</v>
      </c>
      <c r="J35" s="17">
        <v>0.1</v>
      </c>
      <c r="K35" s="17">
        <v>0.14000000000000001</v>
      </c>
      <c r="L35" s="17">
        <v>0.16</v>
      </c>
      <c r="M35" s="17">
        <v>0.1</v>
      </c>
      <c r="N35" s="17">
        <v>0.1</v>
      </c>
      <c r="O35" s="25">
        <f>SUM(H35:N35)</f>
        <v>1</v>
      </c>
    </row>
    <row r="36" spans="2:22">
      <c r="G36" s="23">
        <v>2014</v>
      </c>
      <c r="H36" s="17">
        <v>0.36</v>
      </c>
      <c r="I36" s="17">
        <v>0.08</v>
      </c>
      <c r="J36" s="17">
        <v>0.09</v>
      </c>
      <c r="K36" s="17">
        <v>0.13</v>
      </c>
      <c r="L36" s="17">
        <v>0.15</v>
      </c>
      <c r="M36" s="17">
        <v>0.09</v>
      </c>
      <c r="N36" s="17">
        <v>0.1</v>
      </c>
      <c r="O36" s="25">
        <f>SUM(H36:N36)</f>
        <v>1</v>
      </c>
    </row>
    <row r="37" spans="2:22">
      <c r="G37" s="23">
        <v>2015</v>
      </c>
      <c r="H37" s="17">
        <v>0.36</v>
      </c>
      <c r="I37" s="17">
        <v>0.08</v>
      </c>
      <c r="J37" s="17">
        <v>0.09</v>
      </c>
      <c r="K37" s="17">
        <v>0.14000000000000001</v>
      </c>
      <c r="L37" s="17">
        <v>0.15</v>
      </c>
      <c r="M37" s="17">
        <v>0.09</v>
      </c>
      <c r="N37" s="17">
        <v>0.09</v>
      </c>
      <c r="O37" s="25">
        <f>SUM(H37:N37)</f>
        <v>1</v>
      </c>
    </row>
    <row r="38" spans="2:22">
      <c r="G38" s="23">
        <v>2016</v>
      </c>
      <c r="H38" s="17">
        <v>0.35</v>
      </c>
      <c r="I38" s="17">
        <v>0.08</v>
      </c>
      <c r="J38" s="17">
        <v>0.09</v>
      </c>
      <c r="K38" s="17">
        <v>0.14000000000000001</v>
      </c>
      <c r="L38" s="17">
        <v>0.15</v>
      </c>
      <c r="M38" s="17">
        <v>0.09</v>
      </c>
      <c r="N38" s="17">
        <v>0.1</v>
      </c>
      <c r="O38" s="25">
        <f>SUM(H38:N38)</f>
        <v>1</v>
      </c>
    </row>
    <row r="39" spans="2:22">
      <c r="G39" s="23">
        <v>2017</v>
      </c>
      <c r="H39" s="17">
        <v>0.38</v>
      </c>
      <c r="I39" s="17">
        <v>0.12</v>
      </c>
      <c r="J39" s="17">
        <v>0.05</v>
      </c>
      <c r="K39" s="17">
        <v>0.08</v>
      </c>
      <c r="L39" s="17">
        <v>0.08</v>
      </c>
      <c r="M39" s="17">
        <v>0.18</v>
      </c>
      <c r="N39" s="17">
        <v>0.12</v>
      </c>
      <c r="O39" s="25">
        <f t="shared" ref="O39:O43" si="2">SUM(H39:N39)</f>
        <v>1.0099999999999998</v>
      </c>
    </row>
    <row r="40" spans="2:22">
      <c r="G40" s="23">
        <v>2018</v>
      </c>
      <c r="H40" s="17">
        <v>0.38</v>
      </c>
      <c r="I40" s="17">
        <v>0.12</v>
      </c>
      <c r="J40" s="17">
        <v>0.05</v>
      </c>
      <c r="K40" s="17">
        <v>0.08</v>
      </c>
      <c r="L40" s="17">
        <v>0.08</v>
      </c>
      <c r="M40" s="17">
        <v>0.18</v>
      </c>
      <c r="N40" s="17">
        <v>0.12</v>
      </c>
      <c r="O40" s="25">
        <f t="shared" si="2"/>
        <v>1.0099999999999998</v>
      </c>
    </row>
    <row r="41" spans="2:22">
      <c r="G41" s="23">
        <v>2019</v>
      </c>
      <c r="H41" s="17">
        <v>0.38</v>
      </c>
      <c r="I41" s="17">
        <v>0.11</v>
      </c>
      <c r="J41" s="17">
        <v>0.05</v>
      </c>
      <c r="K41" s="17">
        <v>0.08</v>
      </c>
      <c r="L41" s="17">
        <v>0.08</v>
      </c>
      <c r="M41" s="17">
        <v>0.18</v>
      </c>
      <c r="N41" s="17">
        <v>0.12</v>
      </c>
      <c r="O41" s="25">
        <f t="shared" si="2"/>
        <v>0.99999999999999989</v>
      </c>
    </row>
    <row r="42" spans="2:22">
      <c r="G42" s="23">
        <v>2020</v>
      </c>
      <c r="H42" s="17">
        <v>0.39</v>
      </c>
      <c r="I42" s="17">
        <v>0.11</v>
      </c>
      <c r="J42" s="17">
        <v>0.05</v>
      </c>
      <c r="K42" s="17">
        <v>0.08</v>
      </c>
      <c r="L42" s="17">
        <v>0.08</v>
      </c>
      <c r="M42" s="17">
        <v>0.18</v>
      </c>
      <c r="N42" s="17">
        <v>0.12</v>
      </c>
      <c r="O42" s="25">
        <f t="shared" si="2"/>
        <v>1.0099999999999998</v>
      </c>
    </row>
    <row r="43" spans="2:22">
      <c r="G43" s="26">
        <v>2021</v>
      </c>
      <c r="H43" s="28">
        <v>0.39</v>
      </c>
      <c r="I43" s="28">
        <v>0.11</v>
      </c>
      <c r="J43" s="28">
        <v>0.05</v>
      </c>
      <c r="K43" s="28">
        <v>0.08</v>
      </c>
      <c r="L43" s="28">
        <v>0.08</v>
      </c>
      <c r="M43" s="28">
        <v>0.17</v>
      </c>
      <c r="N43" s="28">
        <v>0.11</v>
      </c>
      <c r="O43" s="25">
        <f t="shared" si="2"/>
        <v>0.99</v>
      </c>
    </row>
    <row r="44" spans="2:22">
      <c r="O44" s="24"/>
    </row>
    <row r="45" spans="2:22">
      <c r="G45" t="s">
        <v>529</v>
      </c>
      <c r="V45" t="s">
        <v>530</v>
      </c>
    </row>
    <row r="46" spans="2:22">
      <c r="G46" t="s">
        <v>531</v>
      </c>
      <c r="V46" t="s">
        <v>532</v>
      </c>
    </row>
    <row r="47" spans="2:22">
      <c r="H47" t="s">
        <v>533</v>
      </c>
    </row>
    <row r="48" spans="2:22">
      <c r="H48" t="s">
        <v>534</v>
      </c>
    </row>
    <row r="50" spans="7:26">
      <c r="H50" t="s">
        <v>535</v>
      </c>
    </row>
    <row r="51" spans="7:26">
      <c r="G51" t="s">
        <v>536</v>
      </c>
    </row>
    <row r="52" spans="7:26">
      <c r="G52" s="37" t="s">
        <v>537</v>
      </c>
      <c r="H52" s="38"/>
      <c r="I52" s="38"/>
      <c r="J52" s="38"/>
      <c r="K52" s="38"/>
      <c r="L52" s="38"/>
      <c r="M52" s="38"/>
      <c r="N52" s="38"/>
      <c r="O52" s="39"/>
      <c r="R52" s="20" t="s">
        <v>538</v>
      </c>
      <c r="S52" s="21"/>
      <c r="T52" s="21"/>
      <c r="U52" s="21"/>
      <c r="V52" s="21"/>
      <c r="W52" s="21"/>
      <c r="X52" s="21"/>
      <c r="Y52" s="21"/>
      <c r="Z52" s="22"/>
    </row>
    <row r="53" spans="7:26">
      <c r="G53" s="40"/>
      <c r="H53" s="41" t="s">
        <v>510</v>
      </c>
      <c r="I53" s="41" t="s">
        <v>511</v>
      </c>
      <c r="J53" s="41" t="s">
        <v>512</v>
      </c>
      <c r="K53" s="41" t="s">
        <v>513</v>
      </c>
      <c r="L53" s="41" t="s">
        <v>514</v>
      </c>
      <c r="M53" s="41" t="s">
        <v>515</v>
      </c>
      <c r="N53" s="41" t="s">
        <v>516</v>
      </c>
      <c r="O53" s="42" t="s">
        <v>517</v>
      </c>
      <c r="P53" t="s">
        <v>539</v>
      </c>
      <c r="R53" s="23"/>
      <c r="S53" t="s">
        <v>540</v>
      </c>
      <c r="T53" t="s">
        <v>541</v>
      </c>
      <c r="U53" t="s">
        <v>542</v>
      </c>
      <c r="V53" t="s">
        <v>543</v>
      </c>
      <c r="W53" t="s">
        <v>544</v>
      </c>
      <c r="X53" t="s">
        <v>545</v>
      </c>
      <c r="Y53" t="s">
        <v>546</v>
      </c>
      <c r="Z53" s="24" t="s">
        <v>547</v>
      </c>
    </row>
    <row r="54" spans="7:26">
      <c r="G54" s="40">
        <v>2006</v>
      </c>
      <c r="H54" s="43">
        <f>(Residential8EndUse!H8*Energy8Sec!$B7-Residential8EndUse!H28*Energy8Sec!$B27)/(Energy8Sec!$B7-Energy8Sec!$B27)</f>
        <v>-9.1344184542416496E-3</v>
      </c>
      <c r="I54" s="43">
        <f>(Residential8EndUse!I8*Energy8Sec!$B7-Residential8EndUse!I28*Energy8Sec!$B27)/(Energy8Sec!$B7-Energy8Sec!$B27)</f>
        <v>0.37185081384068136</v>
      </c>
      <c r="J54" s="43">
        <f>(Residential8EndUse!J8*Energy8Sec!$B7-Residential8EndUse!J28*Energy8Sec!$B27)/(Energy8Sec!$B7-Energy8Sec!$B27)</f>
        <v>3.621860515252815E-3</v>
      </c>
      <c r="K54" s="43">
        <f>(Residential8EndUse!K8*Energy8Sec!$B7-Residential8EndUse!K28*Energy8Sec!$B27)/(Energy8Sec!$B7-Energy8Sec!$B27)</f>
        <v>1.4527325644065968E-2</v>
      </c>
      <c r="L54" s="43">
        <f>(Residential8EndUse!L8*Energy8Sec!$B7-Residential8EndUse!L28*Energy8Sec!$B27)/(Energy8Sec!$B7-Energy8Sec!$B27)</f>
        <v>1.3621860515252764E-2</v>
      </c>
      <c r="M54" s="43">
        <f>(Residential8EndUse!M8*Energy8Sec!$B7-Residential8EndUse!M28*Energy8Sec!$B27)/(Energy8Sec!$B7-Energy8Sec!$B27)</f>
        <v>0.58460709281017564</v>
      </c>
      <c r="N54" s="43">
        <f>(Residential8EndUse!N8*Energy8Sec!$B7-Residential8EndUse!N28*Energy8Sec!$B27)/(Energy8Sec!$B7-Energy8Sec!$B27)</f>
        <v>2.0905465128813201E-2</v>
      </c>
      <c r="O54" s="44">
        <f>(Residential8EndUse!O8*Energy8Sec!$B7-Residential8EndUse!O28*Energy8Sec!$B27)/(Energy8Sec!$B7-Energy8Sec!$B27)</f>
        <v>1</v>
      </c>
      <c r="P54" t="s">
        <v>548</v>
      </c>
      <c r="R54" s="23">
        <v>2006</v>
      </c>
      <c r="S54" s="48">
        <v>0</v>
      </c>
      <c r="T54" s="48">
        <v>0.37185081384068136</v>
      </c>
      <c r="U54" s="48">
        <v>3.621860515252815E-3</v>
      </c>
      <c r="V54" s="48">
        <v>0</v>
      </c>
      <c r="W54" s="48">
        <v>1.3621860515252764E-2</v>
      </c>
      <c r="X54" s="48">
        <f>1-S54-T54-U54-V54-Y54-W54</f>
        <v>0.59</v>
      </c>
      <c r="Y54" s="48">
        <v>2.0905465128813201E-2</v>
      </c>
      <c r="Z54" s="25">
        <v>1</v>
      </c>
    </row>
    <row r="55" spans="7:26">
      <c r="G55" s="40">
        <v>2007</v>
      </c>
      <c r="H55" s="45"/>
      <c r="I55" s="45"/>
      <c r="J55" s="45"/>
      <c r="K55" s="45"/>
      <c r="L55" s="45"/>
      <c r="M55" s="45"/>
      <c r="N55" s="45"/>
      <c r="O55" s="46"/>
      <c r="R55" s="23">
        <v>2007</v>
      </c>
      <c r="S55" s="48"/>
      <c r="T55" s="48"/>
      <c r="U55" s="48"/>
      <c r="V55" s="48"/>
      <c r="W55" s="48"/>
      <c r="X55" s="48"/>
      <c r="Y55" s="48"/>
      <c r="Z55" s="25"/>
    </row>
    <row r="56" spans="7:26">
      <c r="G56" s="40">
        <v>2008</v>
      </c>
      <c r="H56" s="45"/>
      <c r="I56" s="45"/>
      <c r="J56" s="45"/>
      <c r="K56" s="45"/>
      <c r="L56" s="45"/>
      <c r="M56" s="45"/>
      <c r="N56" s="45"/>
      <c r="O56" s="46"/>
      <c r="P56" t="s">
        <v>549</v>
      </c>
      <c r="R56" s="23">
        <v>2008</v>
      </c>
      <c r="S56" s="48"/>
      <c r="T56" s="48"/>
      <c r="U56" s="48"/>
      <c r="V56" s="48"/>
      <c r="W56" s="48"/>
      <c r="X56" s="48"/>
      <c r="Y56" s="48"/>
      <c r="Z56" s="25"/>
    </row>
    <row r="57" spans="7:26">
      <c r="G57" s="40">
        <v>2009</v>
      </c>
      <c r="H57" s="45"/>
      <c r="I57" s="45"/>
      <c r="J57" s="45"/>
      <c r="K57" s="45"/>
      <c r="L57" s="45"/>
      <c r="M57" s="45"/>
      <c r="N57" s="45"/>
      <c r="O57" s="46"/>
      <c r="P57" t="s">
        <v>550</v>
      </c>
      <c r="R57" s="23">
        <v>2009</v>
      </c>
      <c r="S57" s="48"/>
      <c r="T57" s="48"/>
      <c r="U57" s="48"/>
      <c r="V57" s="48"/>
      <c r="W57" s="48"/>
      <c r="X57" s="48"/>
      <c r="Y57" s="48"/>
      <c r="Z57" s="25"/>
    </row>
    <row r="58" spans="7:26">
      <c r="G58" s="40">
        <v>2010</v>
      </c>
      <c r="H58" s="45"/>
      <c r="I58" s="45"/>
      <c r="J58" s="45"/>
      <c r="K58" s="45"/>
      <c r="L58" s="45"/>
      <c r="M58" s="45"/>
      <c r="N58" s="45"/>
      <c r="O58" s="46"/>
      <c r="R58" s="23">
        <v>2010</v>
      </c>
      <c r="S58" s="48"/>
      <c r="T58" s="48"/>
      <c r="U58" s="48"/>
      <c r="V58" s="48"/>
      <c r="W58" s="48"/>
      <c r="X58" s="48"/>
      <c r="Y58" s="48"/>
      <c r="Z58" s="25"/>
    </row>
    <row r="59" spans="7:26">
      <c r="G59" s="40">
        <v>2011</v>
      </c>
      <c r="H59" s="45"/>
      <c r="I59" s="45"/>
      <c r="J59" s="45"/>
      <c r="K59" s="45"/>
      <c r="L59" s="45"/>
      <c r="M59" s="45"/>
      <c r="N59" s="45"/>
      <c r="O59" s="46"/>
      <c r="R59" s="23">
        <v>2011</v>
      </c>
      <c r="S59" s="48"/>
      <c r="T59" s="48"/>
      <c r="U59" s="48"/>
      <c r="V59" s="48"/>
      <c r="W59" s="48"/>
      <c r="X59" s="48"/>
      <c r="Y59" s="48"/>
      <c r="Z59" s="25"/>
    </row>
    <row r="60" spans="7:26">
      <c r="G60" s="40">
        <v>2012</v>
      </c>
      <c r="H60" s="43">
        <f>(Residential8EndUse!H14*Energy8Sec!$B13-Residential8EndUse!H34*Energy8Sec!$B33)/(Energy8Sec!$B13-Energy8Sec!$B33)</f>
        <v>-1.1732380088566379E-2</v>
      </c>
      <c r="I60" s="43">
        <f>(Residential8EndUse!I14*Energy8Sec!$B13-Residential8EndUse!I34*Energy8Sec!$B33)/(Energy8Sec!$B13-Energy8Sec!$B33)</f>
        <v>0.4317323800885664</v>
      </c>
      <c r="J60" s="43">
        <f>(Residential8EndUse!J14*Energy8Sec!$B13-Residential8EndUse!J34*Energy8Sec!$B33)/(Energy8Sec!$B13-Energy8Sec!$B33)</f>
        <v>4.0729872485728083E-3</v>
      </c>
      <c r="K60" s="43">
        <f>(Residential8EndUse!K14*Energy8Sec!$B13-Residential8EndUse!K34*Energy8Sec!$B33)/(Energy8Sec!$B13-Energy8Sec!$B33)</f>
        <v>-1.9878354585712042E-2</v>
      </c>
      <c r="L60" s="43">
        <f>(Residential8EndUse!L14*Energy8Sec!$B13-Residential8EndUse!L34*Energy8Sec!$B33)/(Energy8Sec!$B13-Energy8Sec!$B33)</f>
        <v>-9.878354585711931E-3</v>
      </c>
      <c r="M60" s="43">
        <f>(Residential8EndUse!M14*Energy8Sec!$B13-Residential8EndUse!M34*Energy8Sec!$B33)/(Energy8Sec!$B13-Energy8Sec!$B33)</f>
        <v>0.63358640559142076</v>
      </c>
      <c r="N60" s="43">
        <f>(Residential8EndUse!N14*Energy8Sec!$B13-Residential8EndUse!N34*Energy8Sec!$B33)/(Energy8Sec!$B13-Energy8Sec!$B33)</f>
        <v>-2.7902683668569624E-2</v>
      </c>
      <c r="O60" s="44">
        <f>(Residential8EndUse!O14*Energy8Sec!$B13-Residential8EndUse!O34*Energy8Sec!$B33)/(Energy8Sec!$B13-Energy8Sec!$B33)</f>
        <v>1</v>
      </c>
      <c r="R60" s="23">
        <v>2012</v>
      </c>
      <c r="S60" s="48">
        <v>0</v>
      </c>
      <c r="T60" s="48">
        <v>0.4317323800885664</v>
      </c>
      <c r="U60" s="48">
        <v>4.0729872485728083E-3</v>
      </c>
      <c r="V60" s="48">
        <v>0</v>
      </c>
      <c r="W60" s="48">
        <v>0</v>
      </c>
      <c r="X60" s="48">
        <f>1-S60-T60-U60-V60-Y60-W60</f>
        <v>0.56419463266286074</v>
      </c>
      <c r="Y60" s="48">
        <v>0</v>
      </c>
      <c r="Z60" s="25">
        <v>1</v>
      </c>
    </row>
    <row r="61" spans="7:26">
      <c r="G61" s="40">
        <v>2013</v>
      </c>
      <c r="H61" s="43">
        <f>(Residential8EndUse!H15*Energy8Sec!$B14-Residential8EndUse!H35*Energy8Sec!$B34)/(Energy8Sec!$B14-Energy8Sec!$B34)</f>
        <v>-6.4471901587817345E-3</v>
      </c>
      <c r="I61" s="43">
        <f>(Residential8EndUse!I15*Energy8Sec!$B14-Residential8EndUse!I35*Energy8Sec!$B34)/(Energy8Sec!$B14-Energy8Sec!$B34)</f>
        <v>0.40644719015878178</v>
      </c>
      <c r="J61" s="43">
        <f>(Residential8EndUse!J15*Energy8Sec!$B14-Residential8EndUse!J35*Energy8Sec!$B34)/(Energy8Sec!$B14-Energy8Sec!$B34)</f>
        <v>5.0658429523654704E-3</v>
      </c>
      <c r="K61" s="43">
        <f>(Residential8EndUse!K15*Energy8Sec!$B14-Residential8EndUse!K35*Energy8Sec!$B34)/(Energy8Sec!$B14-Energy8Sec!$B34)</f>
        <v>-1.822359507939092E-2</v>
      </c>
      <c r="L61" s="43">
        <f>(Residential8EndUse!L15*Energy8Sec!$B14-Residential8EndUse!L35*Energy8Sec!$B34)/(Energy8Sec!$B14-Energy8Sec!$B34)</f>
        <v>1.7764049206091012E-3</v>
      </c>
      <c r="M61" s="43">
        <f>(Residential8EndUse!M15*Energy8Sec!$B14-Residential8EndUse!M35*Energy8Sec!$B34)/(Energy8Sec!$B14-Energy8Sec!$B34)</f>
        <v>0.60631550425405079</v>
      </c>
      <c r="N61" s="43">
        <f>(Residential8EndUse!N15*Energy8Sec!$B14-Residential8EndUse!N35*Energy8Sec!$B34)/(Energy8Sec!$B14-Energy8Sec!$B34)</f>
        <v>5.0658429523654704E-3</v>
      </c>
      <c r="O61" s="44">
        <f>(Residential8EndUse!O15*Energy8Sec!$B14-Residential8EndUse!O35*Energy8Sec!$B34)/(Energy8Sec!$B14-Energy8Sec!$B34)</f>
        <v>1</v>
      </c>
      <c r="R61" s="23">
        <v>2013</v>
      </c>
      <c r="S61" s="48">
        <v>0</v>
      </c>
      <c r="T61" s="48">
        <v>0.40644719015878178</v>
      </c>
      <c r="U61" s="48">
        <v>5.0658429523654704E-3</v>
      </c>
      <c r="V61" s="48">
        <v>0</v>
      </c>
      <c r="W61" s="48">
        <v>1.7764049206091012E-3</v>
      </c>
      <c r="X61" s="48">
        <f>1-S61-T61-U61-V61-Y61-W61</f>
        <v>0.58164471901587811</v>
      </c>
      <c r="Y61" s="48">
        <v>5.0658429523654704E-3</v>
      </c>
      <c r="Z61" s="25">
        <v>1</v>
      </c>
    </row>
    <row r="62" spans="7:26">
      <c r="G62" s="40">
        <v>2014</v>
      </c>
      <c r="H62" s="43">
        <f>(Residential8EndUse!H16*Energy8Sec!$B15-Residential8EndUse!H36*Energy8Sec!$B35)/(Energy8Sec!$B15-Energy8Sec!$B35)</f>
        <v>-8.213030548796952E-3</v>
      </c>
      <c r="I62" s="43">
        <f>(Residential8EndUse!I16*Energy8Sec!$B15-Residential8EndUse!I36*Energy8Sec!$B35)/(Energy8Sec!$B15-Energy8Sec!$B35)</f>
        <v>0.41473911868072444</v>
      </c>
      <c r="J62" s="43">
        <f>(Residential8EndUse!J16*Energy8Sec!$B15-Residential8EndUse!J36*Energy8Sec!$B35)/(Energy8Sec!$B15-Energy8Sec!$B35)</f>
        <v>-1.0421735604217356E-2</v>
      </c>
      <c r="K62" s="43">
        <f>(Residential8EndUse!K16*Energy8Sec!$B15-Residential8EndUse!K36*Energy8Sec!$B35)/(Energy8Sec!$B15-Energy8Sec!$B35)</f>
        <v>-3.8956474722898178E-3</v>
      </c>
      <c r="L62" s="43">
        <f>(Residential8EndUse!L16*Energy8Sec!$B15-Residential8EndUse!L36*Energy8Sec!$B35)/(Energy8Sec!$B15-Energy8Sec!$B35)</f>
        <v>-1.7369559340362259E-2</v>
      </c>
      <c r="M62" s="43">
        <f>(Residential8EndUse!M16*Energy8Sec!$B15-Residential8EndUse!M36*Energy8Sec!$B35)/(Energy8Sec!$B15-Energy8Sec!$B35)</f>
        <v>0.62558258988915916</v>
      </c>
      <c r="N62" s="43">
        <f>(Residential8EndUse!N16*Energy8Sec!$B15-Residential8EndUse!N36*Energy8Sec!$B35)/(Energy8Sec!$B15-Energy8Sec!$B35)</f>
        <v>-4.2173560421731671E-4</v>
      </c>
      <c r="O62" s="44">
        <f>(Residential8EndUse!O16*Energy8Sec!$B15-Residential8EndUse!O36*Energy8Sec!$B35)/(Energy8Sec!$B15-Energy8Sec!$B35)</f>
        <v>1</v>
      </c>
      <c r="R62" s="23">
        <v>2014</v>
      </c>
      <c r="S62" s="48">
        <v>0</v>
      </c>
      <c r="T62" s="48">
        <v>0.41473911868072444</v>
      </c>
      <c r="U62" s="48">
        <v>0</v>
      </c>
      <c r="V62" s="48">
        <v>0</v>
      </c>
      <c r="W62" s="48">
        <v>0</v>
      </c>
      <c r="X62" s="48">
        <f>1-S62-T62-U62-V62-Y62-W62</f>
        <v>0.58526088131927556</v>
      </c>
      <c r="Y62" s="48">
        <v>0</v>
      </c>
      <c r="Z62" s="25">
        <v>1</v>
      </c>
    </row>
    <row r="63" spans="7:26">
      <c r="G63" s="40">
        <v>2015</v>
      </c>
      <c r="H63" s="43">
        <f>(Residential8EndUse!H17*Energy8Sec!$B16-Residential8EndUse!H37*Energy8Sec!$B36)/(Energy8Sec!$B16-Energy8Sec!$B36)</f>
        <v>-1.1149837498599102E-2</v>
      </c>
      <c r="I63" s="43">
        <f>(Residential8EndUse!I17*Energy8Sec!$B16-Residential8EndUse!I37*Energy8Sec!$B36)/(Energy8Sec!$B16-Energy8Sec!$B36)</f>
        <v>0.41740894318054467</v>
      </c>
      <c r="J63" s="43">
        <f>(Residential8EndUse!J17*Energy8Sec!$B16-Residential8EndUse!J37*Energy8Sec!$B36)/(Energy8Sec!$B16-Energy8Sec!$B36)</f>
        <v>-1.1222682954163409E-2</v>
      </c>
      <c r="K63" s="43">
        <f>(Residential8EndUse!K17*Energy8Sec!$B16-Residential8EndUse!K37*Energy8Sec!$B36)/(Energy8Sec!$B16-Energy8Sec!$B36)</f>
        <v>5.0364227277821423E-3</v>
      </c>
      <c r="L63" s="43">
        <f>(Residential8EndUse!L17*Energy8Sec!$B16-Residential8EndUse!L37*Energy8Sec!$B36)/(Energy8Sec!$B16-Energy8Sec!$B36)</f>
        <v>-1.870447159027229E-2</v>
      </c>
      <c r="M63" s="43">
        <f>(Residential8EndUse!M17*Energy8Sec!$B16-Residential8EndUse!M37*Energy8Sec!$B36)/(Energy8Sec!$B16-Energy8Sec!$B36)</f>
        <v>0.59611341477081692</v>
      </c>
      <c r="N63" s="43">
        <f>(Residential8EndUse!N17*Energy8Sec!$B16-Residential8EndUse!N37*Energy8Sec!$B36)/(Energy8Sec!$B16-Energy8Sec!$B36)</f>
        <v>2.2518211363891101E-2</v>
      </c>
      <c r="O63" s="44">
        <f>(Residential8EndUse!O17*Energy8Sec!$B16-Residential8EndUse!O37*Energy8Sec!$B36)/(Energy8Sec!$B16-Energy8Sec!$B36)</f>
        <v>1</v>
      </c>
      <c r="R63" s="23">
        <v>2015</v>
      </c>
      <c r="S63" s="48">
        <v>0</v>
      </c>
      <c r="T63" s="48">
        <v>0.41740894318054467</v>
      </c>
      <c r="U63" s="48">
        <v>0</v>
      </c>
      <c r="V63" s="48">
        <v>0</v>
      </c>
      <c r="W63" s="48">
        <v>0</v>
      </c>
      <c r="X63" s="48">
        <f>1-S63-T63-U63-V63-Y63-W63</f>
        <v>0.56007284545556424</v>
      </c>
      <c r="Y63" s="48">
        <v>2.2518211363891101E-2</v>
      </c>
      <c r="Z63" s="25">
        <v>1</v>
      </c>
    </row>
    <row r="64" spans="7:26">
      <c r="G64" s="40">
        <v>2016</v>
      </c>
      <c r="H64" s="43">
        <f>(Residential8EndUse!H18*Energy8Sec!$B17-Residential8EndUse!H38*Energy8Sec!$B37)/(Energy8Sec!$B17-Energy8Sec!$B37)</f>
        <v>8.1692777990065191E-2</v>
      </c>
      <c r="I64" s="43">
        <f>(Residential8EndUse!I18*Energy8Sec!$B17-Residential8EndUse!I38*Energy8Sec!$B37)/(Energy8Sec!$B17-Energy8Sec!$B37)</f>
        <v>0.61661444401986998</v>
      </c>
      <c r="J64" s="43">
        <f>(Residential8EndUse!J18*Energy8Sec!$B17-Residential8EndUse!J38*Energy8Sec!$B37)/(Energy8Sec!$B17-Energy8Sec!$B37)</f>
        <v>-7.7692013756209391E-2</v>
      </c>
      <c r="K64" s="43">
        <f>(Residential8EndUse!K18*Energy8Sec!$B17-Residential8EndUse!K38*Energy8Sec!$B37)/(Energy8Sec!$B17-Energy8Sec!$B37)</f>
        <v>-0.16184562476117692</v>
      </c>
      <c r="L64" s="43">
        <f>(Residential8EndUse!L18*Energy8Sec!$B17-Residential8EndUse!L38*Energy8Sec!$B37)/(Energy8Sec!$B17-Energy8Sec!$B37)</f>
        <v>-0.15184562476117694</v>
      </c>
      <c r="M64" s="43">
        <f>(Residential8EndUse!M18*Energy8Sec!$B17-Residential8EndUse!M38*Energy8Sec!$B37)/(Energy8Sec!$B17-Energy8Sec!$B37)</f>
        <v>0.66015284677111208</v>
      </c>
      <c r="N64" s="43">
        <f>(Residential8EndUse!N18*Energy8Sec!$B17-Residential8EndUse!N38*Energy8Sec!$B37)/(Energy8Sec!$B17-Energy8Sec!$B37)</f>
        <v>3.2923194497516232E-2</v>
      </c>
      <c r="O64" s="44">
        <f>(Residential8EndUse!O18*Energy8Sec!$B17-Residential8EndUse!O38*Energy8Sec!$B37)/(Energy8Sec!$B17-Energy8Sec!$B37)</f>
        <v>1.0000000000000009</v>
      </c>
      <c r="R64" s="23">
        <v>2016</v>
      </c>
      <c r="S64" s="48">
        <v>0</v>
      </c>
      <c r="T64" s="48">
        <v>0.41538402751241882</v>
      </c>
      <c r="U64" s="48">
        <v>0</v>
      </c>
      <c r="V64" s="48">
        <v>0</v>
      </c>
      <c r="W64" s="48">
        <v>1.5846388995032479E-2</v>
      </c>
      <c r="X64" s="48">
        <f>1-S64-T64-U64-V64-Y64-W64</f>
        <v>0.5687695834925488</v>
      </c>
      <c r="Y64" s="48">
        <v>0</v>
      </c>
      <c r="Z64" s="25">
        <v>1</v>
      </c>
    </row>
    <row r="65" spans="7:26">
      <c r="G65" s="40">
        <v>2017</v>
      </c>
      <c r="H65" s="43">
        <f>(Residential8EndUse!H19*Energy8Sec!$B18-Residential8EndUse!H39*Energy8Sec!$B38)/(Energy8Sec!$B18-Energy8Sec!$B38)</f>
        <v>-1.5504932148890947E-2</v>
      </c>
      <c r="I65" s="43">
        <f>(Residential8EndUse!I19*Energy8Sec!$B18-Residential8EndUse!I39*Energy8Sec!$B38)/(Energy8Sec!$B18-Energy8Sec!$B38)</f>
        <v>0.51550493214889093</v>
      </c>
      <c r="J65" s="43">
        <f>(Residential8EndUse!J19*Energy8Sec!$B18-Residential8EndUse!J39*Energy8Sec!$B38)/(Energy8Sec!$B18-Energy8Sec!$B38)</f>
        <v>1.704125565425909E-2</v>
      </c>
      <c r="K65" s="43">
        <f>(Residential8EndUse!K19*Energy8Sec!$B18-Residential8EndUse!K39*Energy8Sec!$B38)/(Energy8Sec!$B18-Energy8Sec!$B38)</f>
        <v>-1.8876233037222721E-2</v>
      </c>
      <c r="L65" s="43">
        <f>(Residential8EndUse!L19*Energy8Sec!$B18-Residential8EndUse!L39*Energy8Sec!$B38)/(Energy8Sec!$B18-Energy8Sec!$B38)</f>
        <v>1.408251130851818E-2</v>
      </c>
      <c r="M65" s="43">
        <f>(Residential8EndUse!M19*Energy8Sec!$B18-Residential8EndUse!M39*Energy8Sec!$B38)/(Energy8Sec!$B18-Energy8Sec!$B38)</f>
        <v>0.47662869911166822</v>
      </c>
      <c r="N65" s="43">
        <f>(Residential8EndUse!N19*Energy8Sec!$B18-Residential8EndUse!N39*Energy8Sec!$B38)/(Energy8Sec!$B18-Energy8Sec!$B38)</f>
        <v>-1.1834977382963642E-2</v>
      </c>
      <c r="O65" s="44">
        <f>(Residential8EndUse!O19*Energy8Sec!$B18-Residential8EndUse!O39*Energy8Sec!$B38)/(Energy8Sec!$B18-Energy8Sec!$B38)</f>
        <v>0.97704125565426048</v>
      </c>
      <c r="R65" s="23">
        <v>2017</v>
      </c>
      <c r="S65" s="48"/>
      <c r="T65" s="48"/>
      <c r="U65" s="48"/>
      <c r="V65" s="48"/>
      <c r="W65" s="48"/>
      <c r="X65" s="48"/>
      <c r="Y65" s="48"/>
      <c r="Z65" s="17"/>
    </row>
    <row r="66" spans="7:26">
      <c r="G66" s="40">
        <v>2018</v>
      </c>
      <c r="H66" s="43">
        <f>(Residential8EndUse!H20*Energy8Sec!$B19-Residential8EndUse!H40*Energy8Sec!$B39)/(Energy8Sec!$B19-Energy8Sec!$B39)</f>
        <v>2.953396967995538E-3</v>
      </c>
      <c r="I66" s="43">
        <f>(Residential8EndUse!I20*Energy8Sec!$B19-Residential8EndUse!I40*Energy8Sec!$B39)/(Energy8Sec!$B19-Energy8Sec!$B39)</f>
        <v>0.49704660303200449</v>
      </c>
      <c r="J66" s="43">
        <f>(Residential8EndUse!J20*Energy8Sec!$B19-Residential8EndUse!J40*Energy8Sec!$B39)/(Energy8Sec!$B19-Energy8Sec!$B39)</f>
        <v>1.8579449747332971E-2</v>
      </c>
      <c r="K66" s="43">
        <f>(Residential8EndUse!K20*Energy8Sec!$B19-Residential8EndUse!K40*Energy8Sec!$B39)/(Energy8Sec!$B19-Energy8Sec!$B39)</f>
        <v>-1.4261650758001128E-2</v>
      </c>
      <c r="L66" s="43">
        <f>(Residential8EndUse!L20*Energy8Sec!$B19-Residential8EndUse!L40*Energy8Sec!$B39)/(Energy8Sec!$B19-Energy8Sec!$B39)</f>
        <v>1.7158899494665886E-2</v>
      </c>
      <c r="M66" s="43">
        <f>(Residential8EndUse!M20*Energy8Sec!$B19-Residential8EndUse!M40*Energy8Sec!$B39)/(Energy8Sec!$B19-Energy8Sec!$B39)</f>
        <v>0.46278495227400346</v>
      </c>
      <c r="N66" s="43">
        <f>(Residential8EndUse!N20*Energy8Sec!$B19-Residential8EndUse!N40*Energy8Sec!$B39)/(Energy8Sec!$B19-Energy8Sec!$B39)</f>
        <v>-5.6822010106681491E-3</v>
      </c>
      <c r="O66" s="44">
        <f>(Residential8EndUse!O20*Energy8Sec!$B19-Residential8EndUse!O40*Energy8Sec!$B39)/(Energy8Sec!$B19-Energy8Sec!$B39)</f>
        <v>0.97857944974733402</v>
      </c>
      <c r="R66" s="23">
        <v>2018</v>
      </c>
      <c r="S66" s="48"/>
      <c r="T66" s="48"/>
      <c r="U66" s="48"/>
      <c r="V66" s="48"/>
      <c r="W66" s="48"/>
      <c r="X66" s="48"/>
      <c r="Y66" s="48"/>
      <c r="Z66" s="17"/>
    </row>
    <row r="67" spans="7:26">
      <c r="G67" s="40">
        <v>2019</v>
      </c>
      <c r="H67" s="43">
        <f>(Residential8EndUse!H21*Energy8Sec!$B20-Residential8EndUse!H41*Energy8Sec!$B40)/(Energy8Sec!$B20-Energy8Sec!$B40)</f>
        <v>-2.4917053749170456E-2</v>
      </c>
      <c r="I67" s="43">
        <f>(Residential8EndUse!I21*Energy8Sec!$B20-Residential8EndUse!I41*Energy8Sec!$B40)/(Energy8Sec!$B20-Energy8Sec!$B40)</f>
        <v>0.51491705374917052</v>
      </c>
      <c r="J67" s="43">
        <f>(Residential8EndUse!J21*Energy8Sec!$B20-Residential8EndUse!J41*Energy8Sec!$B40)/(Energy8Sec!$B20-Energy8Sec!$B40)</f>
        <v>1.6256912187569136E-2</v>
      </c>
      <c r="K67" s="43">
        <f>(Residential8EndUse!K21*Energy8Sec!$B20-Residential8EndUse!K41*Energy8Sec!$B40)/(Energy8Sec!$B20-Energy8Sec!$B40)</f>
        <v>-2.1229263437292627E-2</v>
      </c>
      <c r="L67" s="43">
        <f>(Residential8EndUse!L21*Energy8Sec!$B20-Residential8EndUse!L41*Energy8Sec!$B40)/(Energy8Sec!$B20-Energy8Sec!$B40)</f>
        <v>1.2513824375138229E-2</v>
      </c>
      <c r="M67" s="43">
        <f>(Residential8EndUse!M21*Energy8Sec!$B20-Residential8EndUse!M41*Energy8Sec!$B40)/(Energy8Sec!$B20-Energy8Sec!$B40)</f>
        <v>0.48368779031187803</v>
      </c>
      <c r="N67" s="43">
        <f>(Residential8EndUse!N21*Energy8Sec!$B20-Residential8EndUse!N41*Energy8Sec!$B40)/(Energy8Sec!$B20-Energy8Sec!$B40)</f>
        <v>1.8770736562707356E-2</v>
      </c>
      <c r="O67" s="44">
        <f>(Residential8EndUse!O21*Energy8Sec!$B20-Residential8EndUse!O41*Energy8Sec!$B40)/(Energy8Sec!$B20-Energy8Sec!$B40)</f>
        <v>1.0000000000000011</v>
      </c>
      <c r="R67" s="23">
        <v>2019</v>
      </c>
      <c r="S67" s="48"/>
      <c r="T67" s="48"/>
      <c r="U67" s="48"/>
      <c r="V67" s="48"/>
      <c r="W67" s="48"/>
      <c r="X67" s="48"/>
      <c r="Y67" s="48"/>
      <c r="Z67" s="17"/>
    </row>
    <row r="68" spans="7:26">
      <c r="G68" s="40">
        <v>2020</v>
      </c>
      <c r="H68" s="43">
        <f>(Residential8EndUse!H22*Energy8Sec!$B21-Residential8EndUse!H42*Energy8Sec!$B41)/(Energy8Sec!$B21-Energy8Sec!$B41)</f>
        <v>-1.376735231533073E-2</v>
      </c>
      <c r="I68" s="43">
        <f>(Residential8EndUse!I22*Energy8Sec!$B21-Residential8EndUse!I42*Energy8Sec!$B41)/(Energy8Sec!$B21-Energy8Sec!$B41)</f>
        <v>0.51376735231533077</v>
      </c>
      <c r="J68" s="43">
        <f>(Residential8EndUse!J22*Energy8Sec!$B21-Residential8EndUse!J42*Energy8Sec!$B41)/(Energy8Sec!$B21-Energy8Sec!$B41)</f>
        <v>1.6352720640389097E-2</v>
      </c>
      <c r="K68" s="43">
        <f>(Residential8EndUse!K22*Energy8Sec!$B21-Residential8EndUse!K42*Energy8Sec!$B41)/(Energy8Sec!$B21-Energy8Sec!$B41)</f>
        <v>-2.0941838078832705E-2</v>
      </c>
      <c r="L68" s="43">
        <f>(Residential8EndUse!L22*Energy8Sec!$B21-Residential8EndUse!L42*Energy8Sec!$B41)/(Energy8Sec!$B21-Energy8Sec!$B41)</f>
        <v>1.2705441280778182E-2</v>
      </c>
      <c r="M68" s="43">
        <f>(Residential8EndUse!M22*Energy8Sec!$B21-Residential8EndUse!M42*Energy8Sec!$B41)/(Energy8Sec!$B21-Energy8Sec!$B41)</f>
        <v>0.44917823487688729</v>
      </c>
      <c r="N68" s="43">
        <f>(Residential8EndUse!N22*Energy8Sec!$B21-Residential8EndUse!N42*Energy8Sec!$B41)/(Energy8Sec!$B21-Energy8Sec!$B41)</f>
        <v>-1.4589117438443613E-2</v>
      </c>
      <c r="O68" s="44">
        <f>(Residential8EndUse!O22*Energy8Sec!$B21-Residential8EndUse!O42*Energy8Sec!$B41)/(Energy8Sec!$B21-Energy8Sec!$B41)</f>
        <v>0.94270544128077904</v>
      </c>
      <c r="R68" s="23">
        <v>2020</v>
      </c>
      <c r="S68" s="48"/>
      <c r="T68" s="48"/>
      <c r="U68" s="48"/>
      <c r="V68" s="48"/>
      <c r="W68" s="48"/>
      <c r="X68" s="48"/>
      <c r="Y68" s="48"/>
      <c r="Z68" s="17"/>
    </row>
    <row r="69" spans="7:26">
      <c r="G69" s="47">
        <v>2021</v>
      </c>
      <c r="H69" s="43">
        <f>(Residential8EndUse!H23*Energy8Sec!$B22-Residential8EndUse!H43*Energy8Sec!$B42)/(Energy8Sec!$B22-Energy8Sec!$B42)</f>
        <v>8.8757334995067712E-3</v>
      </c>
      <c r="I69" s="43">
        <f>(Residential8EndUse!I23*Energy8Sec!$B22-Residential8EndUse!I43*Energy8Sec!$B42)/(Energy8Sec!$B22-Energy8Sec!$B42)</f>
        <v>0.52577192709144727</v>
      </c>
      <c r="J69" s="43">
        <f>(Residential8EndUse!J23*Energy8Sec!$B22-Residential8EndUse!J43*Energy8Sec!$B42)/(Energy8Sec!$B22-Energy8Sec!$B42)</f>
        <v>1.5352339409046055E-2</v>
      </c>
      <c r="K69" s="43">
        <f>(Residential8EndUse!K23*Energy8Sec!$B22-Residential8EndUse!K43*Energy8Sec!$B42)/(Energy8Sec!$B22-Energy8Sec!$B42)</f>
        <v>-2.3942981772861801E-2</v>
      </c>
      <c r="L69" s="43">
        <f>(Residential8EndUse!L23*Energy8Sec!$B22-Residential8EndUse!L43*Energy8Sec!$B42)/(Energy8Sec!$B22-Energy8Sec!$B42)</f>
        <v>1.0704678818092115E-2</v>
      </c>
      <c r="M69" s="43">
        <f>(Residential8EndUse!M23*Energy8Sec!$B22-Residential8EndUse!M43*Energy8Sec!$B42)/(Energy8Sec!$B22-Energy8Sec!$B42)</f>
        <v>0.48182894531858533</v>
      </c>
      <c r="N69" s="43">
        <f>(Residential8EndUse!N23*Energy8Sec!$B22-Residential8EndUse!N43*Energy8Sec!$B42)/(Energy8Sec!$B22-Energy8Sec!$B42)</f>
        <v>6.0570182271382006E-3</v>
      </c>
      <c r="O69" s="44">
        <f>(Residential8EndUse!O23*Energy8Sec!$B22-Residential8EndUse!O43*Energy8Sec!$B42)/(Energy8Sec!$B22-Energy8Sec!$B42)</f>
        <v>1.0246476605909547</v>
      </c>
      <c r="R69" s="23">
        <v>2021</v>
      </c>
      <c r="S69" s="48"/>
      <c r="T69" s="48"/>
      <c r="U69" s="48"/>
      <c r="V69" s="48"/>
      <c r="W69" s="48"/>
      <c r="X69" s="48"/>
      <c r="Y69" s="48"/>
      <c r="Z69" s="17"/>
    </row>
    <row r="71" spans="7:26" s="58" customFormat="1"/>
  </sheetData>
  <phoneticPr fontId="3" type="noConversion"/>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zoomScale="84" workbookViewId="0">
      <selection activeCell="C22" sqref="C22"/>
    </sheetView>
  </sheetViews>
  <sheetFormatPr defaultColWidth="8.81640625" defaultRowHeight="14.5"/>
  <cols>
    <col min="15" max="15" width="9.1796875" bestFit="1" customWidth="1"/>
  </cols>
  <sheetData>
    <row r="1" spans="1:13" ht="23.5">
      <c r="A1" s="109" t="s">
        <v>551</v>
      </c>
    </row>
    <row r="2" spans="1:13">
      <c r="A2" t="s">
        <v>493</v>
      </c>
      <c r="B2" t="s">
        <v>552</v>
      </c>
    </row>
    <row r="3" spans="1:13">
      <c r="A3" t="s">
        <v>553</v>
      </c>
    </row>
    <row r="5" spans="1:13">
      <c r="A5" s="58" t="s">
        <v>554</v>
      </c>
      <c r="B5" s="58"/>
      <c r="C5" s="58"/>
      <c r="D5" s="58"/>
      <c r="E5" s="58"/>
      <c r="F5" s="58" t="s">
        <v>555</v>
      </c>
      <c r="H5" s="58" t="s">
        <v>556</v>
      </c>
      <c r="I5" s="58"/>
      <c r="J5" s="58"/>
      <c r="K5" s="58"/>
      <c r="L5" s="58"/>
      <c r="M5" s="58"/>
    </row>
    <row r="6" spans="1:13">
      <c r="A6" t="s">
        <v>557</v>
      </c>
      <c r="B6" t="s">
        <v>495</v>
      </c>
      <c r="C6" t="s">
        <v>503</v>
      </c>
      <c r="D6" t="s">
        <v>558</v>
      </c>
      <c r="E6" t="s">
        <v>559</v>
      </c>
      <c r="F6" t="s">
        <v>560</v>
      </c>
      <c r="H6" t="s">
        <v>557</v>
      </c>
      <c r="I6" t="s">
        <v>495</v>
      </c>
      <c r="J6" t="s">
        <v>503</v>
      </c>
      <c r="K6" t="s">
        <v>558</v>
      </c>
      <c r="L6" t="s">
        <v>559</v>
      </c>
      <c r="M6" t="s">
        <v>560</v>
      </c>
    </row>
    <row r="7" spans="1:13">
      <c r="A7">
        <v>2006</v>
      </c>
      <c r="B7">
        <v>53982</v>
      </c>
      <c r="C7">
        <v>111884</v>
      </c>
      <c r="D7">
        <v>18934</v>
      </c>
      <c r="E7">
        <v>96404</v>
      </c>
      <c r="F7">
        <f>SUM(B7:E7)</f>
        <v>281204</v>
      </c>
      <c r="H7">
        <v>2006</v>
      </c>
      <c r="I7" s="1">
        <f>B7/$F7</f>
        <v>0.19196739733431956</v>
      </c>
      <c r="J7" s="1">
        <f>C7/$F7</f>
        <v>0.39787485242030696</v>
      </c>
      <c r="K7" s="1">
        <f>D7/$F7</f>
        <v>6.7331901395428231E-2</v>
      </c>
      <c r="L7" s="1">
        <f>E7/$F7</f>
        <v>0.34282584884994521</v>
      </c>
      <c r="M7" s="1">
        <f>F7/$F7</f>
        <v>1</v>
      </c>
    </row>
    <row r="8" spans="1:13">
      <c r="A8">
        <v>2007</v>
      </c>
      <c r="B8">
        <v>54717</v>
      </c>
      <c r="C8">
        <v>113914</v>
      </c>
      <c r="D8">
        <v>17645</v>
      </c>
      <c r="E8">
        <v>96165</v>
      </c>
      <c r="F8">
        <f t="shared" ref="F8:F17" si="0">SUM(B8:E8)</f>
        <v>282441</v>
      </c>
      <c r="H8">
        <v>2007</v>
      </c>
      <c r="I8" s="1">
        <f t="shared" ref="I8:I18" si="1">B8/$F8</f>
        <v>0.19372895578191551</v>
      </c>
      <c r="J8" s="1">
        <f t="shared" ref="J8:J22" si="2">C8/$F8</f>
        <v>0.40331963135663734</v>
      </c>
      <c r="K8" s="1">
        <f t="shared" ref="K8:K22" si="3">D8/$F8</f>
        <v>6.2473224496443505E-2</v>
      </c>
      <c r="L8" s="1">
        <f t="shared" ref="L8:M22" si="4">E8/$F8</f>
        <v>0.34047818836500365</v>
      </c>
      <c r="M8" s="1">
        <f t="shared" si="4"/>
        <v>1</v>
      </c>
    </row>
    <row r="9" spans="1:13">
      <c r="A9">
        <v>2008</v>
      </c>
      <c r="B9">
        <v>55849</v>
      </c>
      <c r="C9">
        <v>113753</v>
      </c>
      <c r="D9">
        <v>17332</v>
      </c>
      <c r="E9">
        <v>94504</v>
      </c>
      <c r="F9">
        <f t="shared" si="0"/>
        <v>281438</v>
      </c>
      <c r="H9">
        <v>2008</v>
      </c>
      <c r="I9" s="1">
        <f t="shared" si="1"/>
        <v>0.19844157505383067</v>
      </c>
      <c r="J9" s="1">
        <f t="shared" si="2"/>
        <v>0.40418493593615645</v>
      </c>
      <c r="K9" s="1">
        <f t="shared" si="3"/>
        <v>6.1583723590986295E-2</v>
      </c>
      <c r="L9" s="1">
        <f t="shared" si="4"/>
        <v>0.33578976541902655</v>
      </c>
      <c r="M9" s="1">
        <f t="shared" si="4"/>
        <v>1</v>
      </c>
    </row>
    <row r="10" spans="1:13">
      <c r="A10">
        <v>2009</v>
      </c>
      <c r="B10">
        <v>57731</v>
      </c>
      <c r="C10">
        <v>114297</v>
      </c>
      <c r="D10">
        <v>16129</v>
      </c>
      <c r="E10">
        <v>90643</v>
      </c>
      <c r="F10">
        <f t="shared" si="0"/>
        <v>278800</v>
      </c>
      <c r="H10">
        <v>2009</v>
      </c>
      <c r="I10" s="1">
        <f t="shared" si="1"/>
        <v>0.20706958393113342</v>
      </c>
      <c r="J10" s="1">
        <f t="shared" si="2"/>
        <v>0.40996054519368724</v>
      </c>
      <c r="K10" s="1">
        <f t="shared" si="3"/>
        <v>5.7851506456241035E-2</v>
      </c>
      <c r="L10" s="1">
        <f t="shared" si="4"/>
        <v>0.32511836441893832</v>
      </c>
      <c r="M10" s="1">
        <f t="shared" si="4"/>
        <v>1</v>
      </c>
    </row>
    <row r="11" spans="1:13">
      <c r="A11">
        <v>2010</v>
      </c>
      <c r="B11">
        <v>58396</v>
      </c>
      <c r="C11">
        <v>116391</v>
      </c>
      <c r="D11">
        <v>16053</v>
      </c>
      <c r="E11">
        <v>90889</v>
      </c>
      <c r="F11">
        <f t="shared" si="0"/>
        <v>281729</v>
      </c>
      <c r="H11">
        <v>2010</v>
      </c>
      <c r="I11" s="1">
        <f t="shared" si="1"/>
        <v>0.20727720610941722</v>
      </c>
      <c r="J11" s="1">
        <f t="shared" si="2"/>
        <v>0.41313105857047022</v>
      </c>
      <c r="K11" s="1">
        <f t="shared" si="3"/>
        <v>5.6980289569053946E-2</v>
      </c>
      <c r="L11" s="1">
        <f t="shared" si="4"/>
        <v>0.32261144575105866</v>
      </c>
      <c r="M11" s="1">
        <f t="shared" si="4"/>
        <v>1</v>
      </c>
    </row>
    <row r="12" spans="1:13">
      <c r="A12">
        <v>2011</v>
      </c>
      <c r="B12">
        <v>58826</v>
      </c>
      <c r="C12">
        <v>118558</v>
      </c>
      <c r="D12">
        <v>14732</v>
      </c>
      <c r="E12">
        <v>90774</v>
      </c>
      <c r="F12">
        <f t="shared" si="0"/>
        <v>282890</v>
      </c>
      <c r="H12">
        <v>2011</v>
      </c>
      <c r="I12" s="1">
        <f t="shared" si="1"/>
        <v>0.20794655166319065</v>
      </c>
      <c r="J12" s="1">
        <f t="shared" si="2"/>
        <v>0.41909576160345008</v>
      </c>
      <c r="K12" s="1">
        <f t="shared" si="3"/>
        <v>5.2076778960019797E-2</v>
      </c>
      <c r="L12" s="1">
        <f t="shared" si="4"/>
        <v>0.32088090777333944</v>
      </c>
      <c r="M12" s="1">
        <f t="shared" si="4"/>
        <v>1</v>
      </c>
    </row>
    <row r="13" spans="1:13">
      <c r="A13">
        <v>2012</v>
      </c>
      <c r="B13">
        <v>59932</v>
      </c>
      <c r="C13">
        <v>120970</v>
      </c>
      <c r="D13">
        <v>14723</v>
      </c>
      <c r="E13">
        <v>90423</v>
      </c>
      <c r="F13">
        <f t="shared" si="0"/>
        <v>286048</v>
      </c>
      <c r="H13">
        <v>2012</v>
      </c>
      <c r="I13" s="1">
        <f t="shared" si="1"/>
        <v>0.209517283812507</v>
      </c>
      <c r="J13" s="1">
        <f t="shared" si="2"/>
        <v>0.42290105157176416</v>
      </c>
      <c r="K13" s="1">
        <f t="shared" si="3"/>
        <v>5.147038259313122E-2</v>
      </c>
      <c r="L13" s="1">
        <f t="shared" si="4"/>
        <v>0.31611128202259758</v>
      </c>
      <c r="M13" s="1">
        <f t="shared" si="4"/>
        <v>1</v>
      </c>
    </row>
    <row r="14" spans="1:13">
      <c r="A14">
        <v>2013</v>
      </c>
      <c r="B14">
        <v>58394</v>
      </c>
      <c r="C14">
        <v>121215</v>
      </c>
      <c r="D14">
        <v>14583</v>
      </c>
      <c r="E14">
        <v>90198</v>
      </c>
      <c r="F14">
        <f t="shared" si="0"/>
        <v>284390</v>
      </c>
      <c r="H14">
        <v>2013</v>
      </c>
      <c r="I14" s="1">
        <f t="shared" si="1"/>
        <v>0.20533070783079574</v>
      </c>
      <c r="J14" s="1">
        <f t="shared" si="2"/>
        <v>0.42622806709096661</v>
      </c>
      <c r="K14" s="1">
        <f t="shared" si="3"/>
        <v>5.1278174338056891E-2</v>
      </c>
      <c r="L14" s="1">
        <f t="shared" si="4"/>
        <v>0.31716305074018075</v>
      </c>
      <c r="M14" s="1">
        <f t="shared" si="4"/>
        <v>1</v>
      </c>
    </row>
    <row r="15" spans="1:13">
      <c r="A15">
        <v>2014</v>
      </c>
      <c r="B15">
        <v>61910</v>
      </c>
      <c r="C15">
        <v>122711</v>
      </c>
      <c r="D15">
        <v>14718</v>
      </c>
      <c r="E15">
        <v>89999</v>
      </c>
      <c r="F15">
        <f t="shared" si="0"/>
        <v>289338</v>
      </c>
      <c r="H15">
        <v>2014</v>
      </c>
      <c r="I15" s="1">
        <f t="shared" si="1"/>
        <v>0.21397120322944099</v>
      </c>
      <c r="J15" s="1">
        <f t="shared" si="2"/>
        <v>0.42410951897089216</v>
      </c>
      <c r="K15" s="1">
        <f t="shared" si="3"/>
        <v>5.0867843145387059E-2</v>
      </c>
      <c r="L15" s="1">
        <f t="shared" si="4"/>
        <v>0.31105143465427976</v>
      </c>
      <c r="M15" s="1">
        <f t="shared" si="4"/>
        <v>1</v>
      </c>
    </row>
    <row r="16" spans="1:13">
      <c r="A16">
        <v>2015</v>
      </c>
      <c r="B16">
        <v>60214</v>
      </c>
      <c r="C16">
        <v>123674</v>
      </c>
      <c r="D16">
        <v>14853</v>
      </c>
      <c r="E16">
        <v>89245</v>
      </c>
      <c r="F16">
        <f t="shared" si="0"/>
        <v>287986</v>
      </c>
      <c r="H16">
        <v>2015</v>
      </c>
      <c r="I16" s="1">
        <f t="shared" si="1"/>
        <v>0.2090865528185398</v>
      </c>
      <c r="J16" s="1">
        <f t="shared" si="2"/>
        <v>0.4294444868847791</v>
      </c>
      <c r="K16" s="1">
        <f t="shared" si="3"/>
        <v>5.1575423805323872E-2</v>
      </c>
      <c r="L16" s="1">
        <f t="shared" si="4"/>
        <v>0.3098935364913572</v>
      </c>
      <c r="M16" s="1">
        <f t="shared" si="4"/>
        <v>1</v>
      </c>
    </row>
    <row r="17" spans="1:15">
      <c r="A17">
        <v>2016</v>
      </c>
      <c r="B17">
        <v>61439</v>
      </c>
      <c r="C17">
        <v>123969</v>
      </c>
      <c r="D17">
        <v>13992</v>
      </c>
      <c r="E17">
        <v>89819</v>
      </c>
      <c r="F17">
        <f t="shared" si="0"/>
        <v>289219</v>
      </c>
      <c r="H17">
        <v>2016</v>
      </c>
      <c r="I17" s="1">
        <f t="shared" si="1"/>
        <v>0.21243071859041074</v>
      </c>
      <c r="J17" s="1">
        <f t="shared" si="2"/>
        <v>0.42863366514648071</v>
      </c>
      <c r="K17" s="1">
        <f t="shared" si="3"/>
        <v>4.8378564340517051E-2</v>
      </c>
      <c r="L17" s="1">
        <f t="shared" si="4"/>
        <v>0.31055705192259153</v>
      </c>
      <c r="M17" s="1">
        <f t="shared" si="4"/>
        <v>1</v>
      </c>
    </row>
    <row r="18" spans="1:15">
      <c r="A18">
        <v>2017</v>
      </c>
      <c r="B18">
        <v>60476</v>
      </c>
      <c r="C18">
        <v>120408</v>
      </c>
      <c r="D18">
        <v>12722</v>
      </c>
      <c r="E18">
        <v>86557</v>
      </c>
      <c r="F18">
        <v>280162</v>
      </c>
      <c r="H18">
        <v>2017</v>
      </c>
      <c r="I18" s="1">
        <f t="shared" si="1"/>
        <v>0.21586082338075827</v>
      </c>
      <c r="J18" s="1">
        <f t="shared" si="2"/>
        <v>0.42977991305030661</v>
      </c>
      <c r="K18" s="1">
        <f t="shared" si="3"/>
        <v>4.5409441680170762E-2</v>
      </c>
      <c r="L18" s="1">
        <f t="shared" si="4"/>
        <v>0.30895339125220406</v>
      </c>
      <c r="M18" s="1">
        <f t="shared" si="4"/>
        <v>1</v>
      </c>
    </row>
    <row r="19" spans="1:15">
      <c r="A19">
        <v>2018</v>
      </c>
      <c r="B19">
        <v>61556</v>
      </c>
      <c r="C19">
        <v>122220</v>
      </c>
      <c r="D19">
        <v>12829</v>
      </c>
      <c r="E19">
        <v>85054</v>
      </c>
      <c r="F19">
        <v>281659</v>
      </c>
      <c r="H19">
        <v>2018</v>
      </c>
      <c r="I19" s="1">
        <f>B19/$F19</f>
        <v>0.21854796047703073</v>
      </c>
      <c r="J19" s="1">
        <f t="shared" si="2"/>
        <v>0.43392897084772719</v>
      </c>
      <c r="K19" s="1">
        <f t="shared" si="3"/>
        <v>4.5547985329778204E-2</v>
      </c>
      <c r="L19" s="1">
        <f>E19/$F19</f>
        <v>0.30197508334546386</v>
      </c>
      <c r="M19" s="1">
        <f t="shared" si="4"/>
        <v>1</v>
      </c>
    </row>
    <row r="20" spans="1:15">
      <c r="A20">
        <v>2019</v>
      </c>
      <c r="B20">
        <v>61021</v>
      </c>
      <c r="C20">
        <v>123001</v>
      </c>
      <c r="D20">
        <v>12274</v>
      </c>
      <c r="E20">
        <v>85877</v>
      </c>
      <c r="F20">
        <v>282174</v>
      </c>
      <c r="H20">
        <v>2019</v>
      </c>
      <c r="I20" s="1">
        <f t="shared" ref="I20:I22" si="5">B20/$F20</f>
        <v>0.21625309206376209</v>
      </c>
      <c r="J20" s="1">
        <f t="shared" si="2"/>
        <v>0.43590479633134166</v>
      </c>
      <c r="K20" s="1">
        <f t="shared" si="3"/>
        <v>4.3497983513718488E-2</v>
      </c>
      <c r="L20" s="1">
        <f t="shared" ref="L20:L22" si="6">E20/$F20</f>
        <v>0.30434058417855647</v>
      </c>
      <c r="M20" s="1">
        <f t="shared" si="4"/>
        <v>1</v>
      </c>
    </row>
    <row r="21" spans="1:15">
      <c r="A21">
        <v>2020</v>
      </c>
      <c r="B21">
        <v>66413</v>
      </c>
      <c r="C21">
        <v>114512</v>
      </c>
      <c r="D21">
        <v>12161</v>
      </c>
      <c r="E21">
        <v>78514</v>
      </c>
      <c r="F21">
        <v>271600</v>
      </c>
      <c r="H21">
        <v>2020</v>
      </c>
      <c r="I21" s="1">
        <f t="shared" si="5"/>
        <v>0.24452503681885124</v>
      </c>
      <c r="J21" s="1">
        <f t="shared" si="2"/>
        <v>0.42162002945508098</v>
      </c>
      <c r="K21" s="1">
        <f t="shared" si="3"/>
        <v>4.4775405007363774E-2</v>
      </c>
      <c r="L21" s="1">
        <f t="shared" si="6"/>
        <v>0.28907952871870396</v>
      </c>
      <c r="M21" s="1">
        <f t="shared" si="4"/>
        <v>1</v>
      </c>
    </row>
    <row r="22" spans="1:15">
      <c r="A22">
        <v>2021</v>
      </c>
      <c r="B22">
        <v>66721</v>
      </c>
      <c r="C22">
        <v>120083</v>
      </c>
      <c r="D22">
        <v>11945</v>
      </c>
      <c r="E22">
        <v>81158</v>
      </c>
      <c r="F22">
        <v>279907</v>
      </c>
      <c r="H22">
        <v>2021</v>
      </c>
      <c r="I22" s="1">
        <f t="shared" si="5"/>
        <v>0.23836845809501012</v>
      </c>
      <c r="J22" s="1">
        <f t="shared" si="2"/>
        <v>0.42901034986620556</v>
      </c>
      <c r="K22" s="1">
        <f t="shared" si="3"/>
        <v>4.2674888445090688E-2</v>
      </c>
      <c r="L22" s="1">
        <f t="shared" si="6"/>
        <v>0.28994630359369361</v>
      </c>
      <c r="M22" s="1">
        <f t="shared" si="4"/>
        <v>1</v>
      </c>
    </row>
    <row r="25" spans="1:15">
      <c r="A25" s="58" t="s">
        <v>561</v>
      </c>
      <c r="B25" s="58"/>
      <c r="C25" s="58"/>
      <c r="D25" s="58"/>
      <c r="E25" s="58"/>
      <c r="F25" s="58"/>
      <c r="H25" s="58" t="s">
        <v>562</v>
      </c>
      <c r="I25" s="58"/>
      <c r="J25" s="58"/>
      <c r="K25" s="58"/>
      <c r="L25" s="58"/>
      <c r="M25" s="58"/>
    </row>
    <row r="26" spans="1:15">
      <c r="A26" t="s">
        <v>557</v>
      </c>
      <c r="B26" t="s">
        <v>495</v>
      </c>
      <c r="C26" t="s">
        <v>503</v>
      </c>
      <c r="D26" t="s">
        <v>558</v>
      </c>
      <c r="E26" t="s">
        <v>559</v>
      </c>
      <c r="F26" t="s">
        <v>560</v>
      </c>
      <c r="H26" t="s">
        <v>557</v>
      </c>
      <c r="I26" t="s">
        <v>495</v>
      </c>
      <c r="J26" t="s">
        <v>503</v>
      </c>
      <c r="K26" t="s">
        <v>558</v>
      </c>
      <c r="L26" t="s">
        <v>559</v>
      </c>
      <c r="M26" t="s">
        <v>560</v>
      </c>
      <c r="O26" s="157" t="s">
        <v>563</v>
      </c>
    </row>
    <row r="27" spans="1:15">
      <c r="A27">
        <v>2006</v>
      </c>
      <c r="B27">
        <v>35428</v>
      </c>
      <c r="C27">
        <v>93317</v>
      </c>
      <c r="D27">
        <v>14015</v>
      </c>
      <c r="E27">
        <v>2444</v>
      </c>
      <c r="F27">
        <f>SUM(B27:E27)</f>
        <v>145204</v>
      </c>
      <c r="H27">
        <v>2006</v>
      </c>
      <c r="I27" s="1">
        <f>B27/$F27</f>
        <v>0.24398776893198534</v>
      </c>
      <c r="J27" s="1">
        <f t="shared" ref="J27:J42" si="7">C27/$F27</f>
        <v>0.64266135919120682</v>
      </c>
      <c r="K27" s="1">
        <f t="shared" ref="K27:K42" si="8">D27/$F27</f>
        <v>9.6519379631415117E-2</v>
      </c>
      <c r="L27" s="1">
        <f t="shared" ref="L27:L42" si="9">E27/$F27</f>
        <v>1.6831492245392689E-2</v>
      </c>
      <c r="M27" s="1">
        <f>F27/$F27</f>
        <v>1</v>
      </c>
      <c r="O27" s="158">
        <f>B7*'History Type Share'!G5</f>
        <v>35628.120000000003</v>
      </c>
    </row>
    <row r="28" spans="1:15">
      <c r="A28">
        <v>2007</v>
      </c>
      <c r="B28">
        <v>36422</v>
      </c>
      <c r="C28">
        <v>95051</v>
      </c>
      <c r="D28">
        <v>13104</v>
      </c>
      <c r="E28">
        <v>2495</v>
      </c>
      <c r="F28">
        <f t="shared" ref="F28:F42" si="10">SUM(B28:E28)</f>
        <v>147072</v>
      </c>
      <c r="H28">
        <v>2007</v>
      </c>
      <c r="I28" s="1">
        <f t="shared" ref="I28:I42" si="11">B28/$F28</f>
        <v>0.24764741079199304</v>
      </c>
      <c r="J28" s="1">
        <f t="shared" si="7"/>
        <v>0.64628889251523058</v>
      </c>
      <c r="K28" s="1">
        <f t="shared" si="8"/>
        <v>8.9099216710182769E-2</v>
      </c>
      <c r="L28" s="1">
        <f t="shared" si="9"/>
        <v>1.696447998259356E-2</v>
      </c>
      <c r="M28" s="1">
        <f t="shared" ref="M28:M42" si="12">F28/$F28</f>
        <v>1</v>
      </c>
      <c r="O28" s="158">
        <f>B8*'History Type Share'!G6</f>
        <v>36660.39</v>
      </c>
    </row>
    <row r="29" spans="1:15">
      <c r="A29">
        <v>2008</v>
      </c>
      <c r="B29">
        <v>37100</v>
      </c>
      <c r="C29">
        <v>95543</v>
      </c>
      <c r="D29">
        <v>12182</v>
      </c>
      <c r="E29">
        <v>2520</v>
      </c>
      <c r="F29">
        <f t="shared" si="10"/>
        <v>147345</v>
      </c>
      <c r="H29">
        <v>2008</v>
      </c>
      <c r="I29" s="1">
        <f t="shared" si="11"/>
        <v>0.25179001662764261</v>
      </c>
      <c r="J29" s="1">
        <f t="shared" si="7"/>
        <v>0.64843055414164041</v>
      </c>
      <c r="K29" s="1">
        <f t="shared" si="8"/>
        <v>8.2676711120160173E-2</v>
      </c>
      <c r="L29" s="1">
        <f t="shared" si="9"/>
        <v>1.7102718110556855E-2</v>
      </c>
      <c r="M29" s="1">
        <f t="shared" si="12"/>
        <v>1</v>
      </c>
      <c r="O29" s="158">
        <f>B9*'History Type Share'!G7</f>
        <v>36860.340000000004</v>
      </c>
    </row>
    <row r="30" spans="1:15">
      <c r="A30">
        <v>2009</v>
      </c>
      <c r="B30">
        <v>38972</v>
      </c>
      <c r="C30">
        <v>96728</v>
      </c>
      <c r="D30">
        <v>11143</v>
      </c>
      <c r="E30">
        <v>2523</v>
      </c>
      <c r="F30">
        <f t="shared" si="10"/>
        <v>149366</v>
      </c>
      <c r="H30">
        <v>2009</v>
      </c>
      <c r="I30" s="1">
        <f t="shared" si="11"/>
        <v>0.26091613888033421</v>
      </c>
      <c r="J30" s="1">
        <f t="shared" si="7"/>
        <v>0.64759048243910933</v>
      </c>
      <c r="K30" s="1">
        <f t="shared" si="8"/>
        <v>7.4601984387343834E-2</v>
      </c>
      <c r="L30" s="1">
        <f t="shared" si="9"/>
        <v>1.6891394293212646E-2</v>
      </c>
      <c r="M30" s="1">
        <f t="shared" si="12"/>
        <v>1</v>
      </c>
      <c r="O30" s="158">
        <f>B10*'History Type Share'!G8</f>
        <v>39257.08</v>
      </c>
    </row>
    <row r="31" spans="1:15">
      <c r="A31">
        <v>2010</v>
      </c>
      <c r="B31">
        <v>39344</v>
      </c>
      <c r="C31">
        <v>97894</v>
      </c>
      <c r="D31">
        <v>11082</v>
      </c>
      <c r="E31">
        <v>2540</v>
      </c>
      <c r="F31">
        <f t="shared" si="10"/>
        <v>150860</v>
      </c>
      <c r="H31">
        <v>2010</v>
      </c>
      <c r="I31" s="1">
        <f t="shared" si="11"/>
        <v>0.26079809094524725</v>
      </c>
      <c r="J31" s="1">
        <f t="shared" si="7"/>
        <v>0.64890627071456985</v>
      </c>
      <c r="K31" s="1">
        <f t="shared" si="8"/>
        <v>7.3458836006893805E-2</v>
      </c>
      <c r="L31" s="1">
        <f t="shared" si="9"/>
        <v>1.6836802333289141E-2</v>
      </c>
      <c r="M31" s="1">
        <f t="shared" si="12"/>
        <v>1</v>
      </c>
      <c r="O31" s="158">
        <f>B11*'History Type Share'!G9</f>
        <v>39125.32</v>
      </c>
    </row>
    <row r="32" spans="1:15">
      <c r="A32">
        <v>2011</v>
      </c>
      <c r="B32">
        <v>39872</v>
      </c>
      <c r="C32">
        <v>99594</v>
      </c>
      <c r="D32">
        <v>9530</v>
      </c>
      <c r="E32">
        <v>2609</v>
      </c>
      <c r="F32">
        <f t="shared" si="10"/>
        <v>151605</v>
      </c>
      <c r="H32">
        <v>2011</v>
      </c>
      <c r="I32" s="1">
        <f t="shared" si="11"/>
        <v>0.26299924144982023</v>
      </c>
      <c r="J32" s="1">
        <f t="shared" si="7"/>
        <v>0.65693084001187296</v>
      </c>
      <c r="K32" s="1">
        <f t="shared" si="8"/>
        <v>6.2860723590910592E-2</v>
      </c>
      <c r="L32" s="1">
        <f t="shared" si="9"/>
        <v>1.7209194947396193E-2</v>
      </c>
      <c r="M32" s="1">
        <f t="shared" si="12"/>
        <v>1</v>
      </c>
      <c r="O32" s="158">
        <f>B12*'History Type Share'!G10</f>
        <v>40001.68</v>
      </c>
    </row>
    <row r="33" spans="1:15">
      <c r="A33">
        <v>2012</v>
      </c>
      <c r="B33">
        <v>41189</v>
      </c>
      <c r="C33">
        <v>101813</v>
      </c>
      <c r="D33">
        <v>9356</v>
      </c>
      <c r="E33">
        <v>2722</v>
      </c>
      <c r="F33">
        <f t="shared" si="10"/>
        <v>155080</v>
      </c>
      <c r="H33">
        <v>2012</v>
      </c>
      <c r="I33" s="1">
        <f t="shared" si="11"/>
        <v>0.26559840082538044</v>
      </c>
      <c r="J33" s="1">
        <f t="shared" si="7"/>
        <v>0.65651921588857365</v>
      </c>
      <c r="K33" s="1">
        <f t="shared" si="8"/>
        <v>6.0330152179520251E-2</v>
      </c>
      <c r="L33" s="1">
        <f t="shared" si="9"/>
        <v>1.7552231106525665E-2</v>
      </c>
      <c r="M33" s="1">
        <f t="shared" si="12"/>
        <v>1</v>
      </c>
      <c r="O33" s="158">
        <f>B13*'History Type Share'!G11</f>
        <v>41353.079999999994</v>
      </c>
    </row>
    <row r="34" spans="1:15">
      <c r="A34">
        <v>2013</v>
      </c>
      <c r="B34">
        <v>39941</v>
      </c>
      <c r="C34">
        <v>101480</v>
      </c>
      <c r="D34">
        <v>9144</v>
      </c>
      <c r="E34">
        <v>2796</v>
      </c>
      <c r="F34">
        <f t="shared" si="10"/>
        <v>153361</v>
      </c>
      <c r="H34">
        <v>2013</v>
      </c>
      <c r="I34" s="1">
        <f t="shared" si="11"/>
        <v>0.2604377905725706</v>
      </c>
      <c r="J34" s="1">
        <f t="shared" si="7"/>
        <v>0.66170669205339039</v>
      </c>
      <c r="K34" s="1">
        <f t="shared" si="8"/>
        <v>5.9624024360821849E-2</v>
      </c>
      <c r="L34" s="1">
        <f t="shared" si="9"/>
        <v>1.8231493013217179E-2</v>
      </c>
      <c r="M34" s="1">
        <f t="shared" si="12"/>
        <v>1</v>
      </c>
      <c r="O34" s="158">
        <f>B14*'History Type Share'!G12</f>
        <v>39707.920000000006</v>
      </c>
    </row>
    <row r="35" spans="1:15">
      <c r="A35">
        <v>2014</v>
      </c>
      <c r="B35">
        <v>43415</v>
      </c>
      <c r="C35">
        <v>102627</v>
      </c>
      <c r="D35">
        <v>9230</v>
      </c>
      <c r="E35">
        <v>2875</v>
      </c>
      <c r="F35">
        <f t="shared" si="10"/>
        <v>158147</v>
      </c>
      <c r="H35">
        <v>2014</v>
      </c>
      <c r="I35" s="1">
        <f t="shared" si="11"/>
        <v>0.2745230703080046</v>
      </c>
      <c r="J35" s="1">
        <f t="shared" si="7"/>
        <v>0.64893421942875928</v>
      </c>
      <c r="K35" s="1">
        <f t="shared" si="8"/>
        <v>5.8363421373785147E-2</v>
      </c>
      <c r="L35" s="1">
        <f t="shared" si="9"/>
        <v>1.8179288889450952E-2</v>
      </c>
      <c r="M35" s="1">
        <f t="shared" si="12"/>
        <v>1</v>
      </c>
      <c r="O35" s="158">
        <f>B15*'History Type Share'!G13</f>
        <v>43337</v>
      </c>
    </row>
    <row r="36" spans="1:15">
      <c r="A36">
        <v>2015</v>
      </c>
      <c r="B36">
        <v>42368</v>
      </c>
      <c r="C36">
        <v>103693</v>
      </c>
      <c r="D36">
        <v>9242</v>
      </c>
      <c r="E36">
        <v>2972</v>
      </c>
      <c r="F36">
        <f t="shared" si="10"/>
        <v>158275</v>
      </c>
      <c r="H36">
        <v>2015</v>
      </c>
      <c r="I36" s="1">
        <f t="shared" si="11"/>
        <v>0.26768598957510664</v>
      </c>
      <c r="J36" s="1">
        <f t="shared" si="7"/>
        <v>0.65514452693097458</v>
      </c>
      <c r="K36" s="1">
        <f t="shared" si="8"/>
        <v>5.8392039172326646E-2</v>
      </c>
      <c r="L36" s="1">
        <f t="shared" si="9"/>
        <v>1.8777444321592167E-2</v>
      </c>
      <c r="M36" s="1">
        <f t="shared" si="12"/>
        <v>1</v>
      </c>
      <c r="O36" s="158">
        <f>B16*'History Type Share'!G14</f>
        <v>42149.799999999996</v>
      </c>
    </row>
    <row r="37" spans="1:15">
      <c r="A37">
        <v>2016</v>
      </c>
      <c r="B37">
        <v>43120</v>
      </c>
      <c r="C37">
        <v>103881</v>
      </c>
      <c r="D37">
        <v>8709</v>
      </c>
      <c r="E37">
        <v>2951</v>
      </c>
      <c r="F37">
        <f t="shared" si="10"/>
        <v>158661</v>
      </c>
      <c r="H37">
        <v>2016</v>
      </c>
      <c r="I37" s="1">
        <f t="shared" si="11"/>
        <v>0.27177441211135694</v>
      </c>
      <c r="J37" s="1">
        <f t="shared" si="7"/>
        <v>0.65473556828710266</v>
      </c>
      <c r="K37" s="1">
        <f t="shared" si="8"/>
        <v>5.4890615841322064E-2</v>
      </c>
      <c r="L37" s="1">
        <f t="shared" si="9"/>
        <v>1.8599403760218326E-2</v>
      </c>
      <c r="M37" s="1">
        <f t="shared" si="12"/>
        <v>1</v>
      </c>
      <c r="O37" s="158">
        <f>B17*'History Type Share'!G15</f>
        <v>43007.299999999996</v>
      </c>
    </row>
    <row r="38" spans="1:15">
      <c r="A38">
        <v>2017</v>
      </c>
      <c r="B38">
        <v>42127</v>
      </c>
      <c r="C38">
        <v>104669</v>
      </c>
      <c r="D38">
        <v>7963</v>
      </c>
      <c r="E38">
        <v>3218</v>
      </c>
      <c r="F38">
        <f t="shared" si="10"/>
        <v>157977</v>
      </c>
      <c r="H38">
        <v>2017</v>
      </c>
      <c r="I38" s="1">
        <f t="shared" si="11"/>
        <v>0.26666540065958971</v>
      </c>
      <c r="J38" s="1">
        <f t="shared" si="7"/>
        <v>0.66255847370186804</v>
      </c>
      <c r="K38" s="1">
        <f t="shared" si="8"/>
        <v>5.0406071769941191E-2</v>
      </c>
      <c r="L38" s="1">
        <f t="shared" si="9"/>
        <v>2.0370053868601124E-2</v>
      </c>
      <c r="M38" s="1">
        <f t="shared" si="12"/>
        <v>1</v>
      </c>
      <c r="O38" s="158">
        <f>B18*'History Type Share'!G16</f>
        <v>42333.2</v>
      </c>
    </row>
    <row r="39" spans="1:15">
      <c r="A39">
        <v>2018</v>
      </c>
      <c r="B39">
        <v>41965</v>
      </c>
      <c r="C39">
        <v>106291</v>
      </c>
      <c r="D39">
        <v>7938</v>
      </c>
      <c r="E39">
        <v>3300</v>
      </c>
      <c r="F39">
        <f t="shared" si="10"/>
        <v>159494</v>
      </c>
      <c r="H39">
        <v>2018</v>
      </c>
      <c r="I39" s="1">
        <f t="shared" si="11"/>
        <v>0.2631133459565877</v>
      </c>
      <c r="J39" s="1">
        <f t="shared" si="7"/>
        <v>0.66642632324726947</v>
      </c>
      <c r="K39" s="1">
        <f t="shared" si="8"/>
        <v>4.9769897300211918E-2</v>
      </c>
      <c r="L39" s="1">
        <f t="shared" si="9"/>
        <v>2.0690433495930881E-2</v>
      </c>
      <c r="M39" s="1">
        <f t="shared" si="12"/>
        <v>1</v>
      </c>
      <c r="O39" s="158">
        <f>B19*'History Type Share'!G17</f>
        <v>41858.080000000002</v>
      </c>
    </row>
    <row r="40" spans="1:15">
      <c r="A40">
        <v>2019</v>
      </c>
      <c r="B40">
        <v>42937</v>
      </c>
      <c r="C40">
        <v>107988</v>
      </c>
      <c r="D40">
        <v>7501</v>
      </c>
      <c r="E40">
        <v>3244</v>
      </c>
      <c r="F40">
        <f t="shared" si="10"/>
        <v>161670</v>
      </c>
      <c r="H40">
        <v>2019</v>
      </c>
      <c r="I40" s="1">
        <f t="shared" si="11"/>
        <v>0.26558421475845861</v>
      </c>
      <c r="J40" s="1">
        <f t="shared" si="7"/>
        <v>0.66795323807756546</v>
      </c>
      <c r="K40" s="1">
        <f t="shared" si="8"/>
        <v>4.6396981505535971E-2</v>
      </c>
      <c r="L40" s="1">
        <f t="shared" si="9"/>
        <v>2.0065565658440032E-2</v>
      </c>
      <c r="M40" s="1">
        <f t="shared" si="12"/>
        <v>1</v>
      </c>
      <c r="O40" s="158">
        <f>B20*'History Type Share'!G18</f>
        <v>42714.7</v>
      </c>
    </row>
    <row r="41" spans="1:15">
      <c r="A41">
        <v>2020</v>
      </c>
      <c r="B41">
        <v>46675</v>
      </c>
      <c r="C41">
        <v>102167</v>
      </c>
      <c r="D41">
        <v>7383</v>
      </c>
      <c r="E41">
        <v>2876</v>
      </c>
      <c r="F41">
        <f t="shared" si="10"/>
        <v>159101</v>
      </c>
      <c r="H41">
        <v>2020</v>
      </c>
      <c r="I41" s="1">
        <f t="shared" si="11"/>
        <v>0.29336710642924935</v>
      </c>
      <c r="J41" s="1">
        <f t="shared" si="7"/>
        <v>0.64215184065467845</v>
      </c>
      <c r="K41" s="1">
        <f t="shared" si="8"/>
        <v>4.640448520122438E-2</v>
      </c>
      <c r="L41" s="1">
        <f t="shared" si="9"/>
        <v>1.8076567714847801E-2</v>
      </c>
      <c r="M41" s="1">
        <f t="shared" si="12"/>
        <v>1</v>
      </c>
      <c r="O41" s="158">
        <f>B21*'History Type Share'!G19</f>
        <v>46489.1</v>
      </c>
    </row>
    <row r="42" spans="1:15">
      <c r="A42">
        <v>2021</v>
      </c>
      <c r="B42">
        <v>47464</v>
      </c>
      <c r="C42">
        <v>107240</v>
      </c>
      <c r="D42">
        <v>7222</v>
      </c>
      <c r="E42">
        <v>3002</v>
      </c>
      <c r="F42">
        <f t="shared" si="10"/>
        <v>164928</v>
      </c>
      <c r="H42">
        <v>2021</v>
      </c>
      <c r="I42" s="1">
        <f t="shared" si="11"/>
        <v>0.28778618548700041</v>
      </c>
      <c r="J42" s="1">
        <f t="shared" si="7"/>
        <v>0.65022312766783086</v>
      </c>
      <c r="K42" s="1">
        <f t="shared" si="8"/>
        <v>4.3788804811796665E-2</v>
      </c>
      <c r="L42" s="1">
        <f t="shared" si="9"/>
        <v>1.8201882033372137E-2</v>
      </c>
      <c r="M42" s="1">
        <f t="shared" si="12"/>
        <v>1</v>
      </c>
      <c r="O42" s="158">
        <f>B22*'History Type Share'!G20</f>
        <v>46704.7</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79998168889431442"/>
  </sheetPr>
  <dimension ref="A1:AM155"/>
  <sheetViews>
    <sheetView zoomScale="115" zoomScaleNormal="125" workbookViewId="0">
      <selection activeCell="S5" sqref="S5"/>
    </sheetView>
  </sheetViews>
  <sheetFormatPr defaultColWidth="8.81640625" defaultRowHeight="14.5"/>
  <cols>
    <col min="1" max="1" width="13.453125" customWidth="1"/>
    <col min="13" max="13" width="9.7265625" customWidth="1"/>
    <col min="32" max="32" width="8.81640625" customWidth="1"/>
  </cols>
  <sheetData>
    <row r="1" spans="1:39" ht="18.5">
      <c r="A1" s="105" t="s">
        <v>564</v>
      </c>
    </row>
    <row r="2" spans="1:39">
      <c r="A2" t="s">
        <v>493</v>
      </c>
      <c r="B2" t="s">
        <v>505</v>
      </c>
      <c r="D2" t="s">
        <v>506</v>
      </c>
    </row>
    <row r="3" spans="1:39" s="98" customFormat="1">
      <c r="A3" s="195" t="s">
        <v>509</v>
      </c>
    </row>
    <row r="4" spans="1:39">
      <c r="A4" s="54" t="s">
        <v>565</v>
      </c>
      <c r="I4" s="24"/>
      <c r="K4" s="54" t="s">
        <v>566</v>
      </c>
      <c r="U4" s="54" t="s">
        <v>567</v>
      </c>
      <c r="AE4" s="54" t="s">
        <v>568</v>
      </c>
    </row>
    <row r="5" spans="1:39" ht="20.149999999999999" customHeight="1">
      <c r="A5" t="s">
        <v>569</v>
      </c>
      <c r="I5" t="s">
        <v>570</v>
      </c>
      <c r="K5" s="2" t="s">
        <v>496</v>
      </c>
      <c r="L5" s="170" t="s">
        <v>571</v>
      </c>
      <c r="M5" s="171" t="s">
        <v>572</v>
      </c>
      <c r="N5" s="172" t="s">
        <v>573</v>
      </c>
      <c r="O5" s="173" t="s">
        <v>574</v>
      </c>
      <c r="P5" s="174" t="s">
        <v>575</v>
      </c>
      <c r="Q5" s="175" t="s">
        <v>576</v>
      </c>
      <c r="R5" s="176" t="s">
        <v>577</v>
      </c>
      <c r="S5" s="177" t="s">
        <v>500</v>
      </c>
      <c r="U5" s="2" t="s">
        <v>496</v>
      </c>
      <c r="V5" s="170" t="s">
        <v>571</v>
      </c>
      <c r="W5" s="171" t="s">
        <v>572</v>
      </c>
      <c r="X5" s="172" t="s">
        <v>573</v>
      </c>
      <c r="Y5" s="173" t="s">
        <v>574</v>
      </c>
      <c r="Z5" s="174" t="s">
        <v>575</v>
      </c>
      <c r="AA5" s="175" t="s">
        <v>576</v>
      </c>
      <c r="AB5" s="176" t="s">
        <v>577</v>
      </c>
      <c r="AC5" s="177" t="s">
        <v>500</v>
      </c>
      <c r="AE5" s="2" t="s">
        <v>496</v>
      </c>
      <c r="AF5" s="170" t="s">
        <v>571</v>
      </c>
      <c r="AG5" s="171" t="s">
        <v>572</v>
      </c>
      <c r="AH5" s="172" t="s">
        <v>573</v>
      </c>
      <c r="AI5" s="173" t="s">
        <v>574</v>
      </c>
      <c r="AJ5" s="174" t="s">
        <v>575</v>
      </c>
      <c r="AK5" s="175" t="s">
        <v>576</v>
      </c>
      <c r="AL5" s="176" t="s">
        <v>577</v>
      </c>
      <c r="AM5" s="177" t="s">
        <v>500</v>
      </c>
    </row>
    <row r="6" spans="1:39">
      <c r="I6">
        <v>53982</v>
      </c>
      <c r="K6" s="12">
        <v>2006</v>
      </c>
      <c r="L6" s="178">
        <v>6828</v>
      </c>
      <c r="M6" s="179">
        <v>6122</v>
      </c>
      <c r="N6" s="180">
        <v>5074</v>
      </c>
      <c r="O6" s="194">
        <v>2148</v>
      </c>
      <c r="P6" s="182">
        <v>2830</v>
      </c>
      <c r="Q6" s="183">
        <v>2311</v>
      </c>
      <c r="R6" s="184">
        <v>898</v>
      </c>
      <c r="S6" s="185">
        <v>26211</v>
      </c>
      <c r="U6" s="12">
        <v>2006</v>
      </c>
      <c r="V6" s="178">
        <f t="shared" ref="V6:V9" si="0">B120+L120</f>
        <v>6900</v>
      </c>
      <c r="W6" s="179">
        <f t="shared" ref="W6:W9" si="1">C120+M120</f>
        <v>5006</v>
      </c>
      <c r="X6" s="180">
        <f>D120+N120</f>
        <v>5485</v>
      </c>
      <c r="Y6" s="194">
        <f t="shared" ref="Y6:Y9" si="2">E120+O120</f>
        <v>1760</v>
      </c>
      <c r="Z6" s="182">
        <f t="shared" ref="Z6:Z9" si="3">F120+P120</f>
        <v>2656</v>
      </c>
      <c r="AA6" s="183">
        <f t="shared" ref="AA6:AA9" si="4">G120+Q120</f>
        <v>2211</v>
      </c>
      <c r="AB6" s="184">
        <f t="shared" ref="AB6:AB9" si="5">H120+R120</f>
        <v>948</v>
      </c>
      <c r="AC6" s="185">
        <f t="shared" ref="AC6:AC9" si="6">I120+S120</f>
        <v>24967</v>
      </c>
      <c r="AE6" s="12">
        <v>2006</v>
      </c>
      <c r="AF6" s="178">
        <f t="shared" ref="AF6:AF21" si="7">L6+V6</f>
        <v>13728</v>
      </c>
      <c r="AG6" s="179">
        <f t="shared" ref="AG6:AG21" si="8">M6+W6</f>
        <v>11128</v>
      </c>
      <c r="AH6" s="180">
        <f t="shared" ref="AH6:AH21" si="9">N6+X6</f>
        <v>10559</v>
      </c>
      <c r="AI6" s="194">
        <f t="shared" ref="AI6:AI21" si="10">O6+Y6</f>
        <v>3908</v>
      </c>
      <c r="AJ6" s="182">
        <f t="shared" ref="AJ6:AM21" si="11">P6+Z6</f>
        <v>5486</v>
      </c>
      <c r="AK6" s="183">
        <f t="shared" si="11"/>
        <v>4522</v>
      </c>
      <c r="AL6" s="184">
        <f t="shared" si="11"/>
        <v>1846</v>
      </c>
      <c r="AM6" s="185">
        <f t="shared" si="11"/>
        <v>51178</v>
      </c>
    </row>
    <row r="7" spans="1:39">
      <c r="I7">
        <v>54717</v>
      </c>
      <c r="K7" s="12">
        <v>2007</v>
      </c>
      <c r="L7" s="178">
        <v>6974</v>
      </c>
      <c r="M7" s="179">
        <v>6176</v>
      </c>
      <c r="N7" s="180">
        <v>5104</v>
      </c>
      <c r="O7" s="194">
        <v>2100</v>
      </c>
      <c r="P7" s="182">
        <v>2962</v>
      </c>
      <c r="Q7" s="183">
        <v>2469</v>
      </c>
      <c r="R7" s="184">
        <v>948</v>
      </c>
      <c r="S7" s="185">
        <v>26733</v>
      </c>
      <c r="U7" s="12">
        <v>2007</v>
      </c>
      <c r="V7" s="178">
        <f t="shared" si="0"/>
        <v>7023</v>
      </c>
      <c r="W7" s="179">
        <f t="shared" si="1"/>
        <v>4963</v>
      </c>
      <c r="X7" s="180">
        <f>D121+N121</f>
        <v>5436</v>
      </c>
      <c r="Y7" s="194">
        <f t="shared" si="2"/>
        <v>1709</v>
      </c>
      <c r="Z7" s="182">
        <f t="shared" si="3"/>
        <v>2741</v>
      </c>
      <c r="AA7" s="183">
        <f t="shared" si="4"/>
        <v>2323</v>
      </c>
      <c r="AB7" s="184">
        <f t="shared" si="5"/>
        <v>990</v>
      </c>
      <c r="AC7" s="185">
        <f t="shared" si="6"/>
        <v>25185</v>
      </c>
      <c r="AE7" s="12">
        <v>2007</v>
      </c>
      <c r="AF7" s="178">
        <f t="shared" si="7"/>
        <v>13997</v>
      </c>
      <c r="AG7" s="179">
        <f t="shared" si="8"/>
        <v>11139</v>
      </c>
      <c r="AH7" s="180">
        <f t="shared" si="9"/>
        <v>10540</v>
      </c>
      <c r="AI7" s="194">
        <f t="shared" si="10"/>
        <v>3809</v>
      </c>
      <c r="AJ7" s="182">
        <f t="shared" si="11"/>
        <v>5703</v>
      </c>
      <c r="AK7" s="183">
        <f t="shared" si="11"/>
        <v>4792</v>
      </c>
      <c r="AL7" s="184">
        <f t="shared" si="11"/>
        <v>1938</v>
      </c>
      <c r="AM7" s="185">
        <f t="shared" si="11"/>
        <v>51918</v>
      </c>
    </row>
    <row r="8" spans="1:39">
      <c r="I8">
        <v>55849</v>
      </c>
      <c r="K8" s="12">
        <v>2008</v>
      </c>
      <c r="L8" s="178">
        <v>7334</v>
      </c>
      <c r="M8" s="179">
        <v>6240</v>
      </c>
      <c r="N8" s="180">
        <v>5323</v>
      </c>
      <c r="O8" s="194">
        <v>2055</v>
      </c>
      <c r="P8" s="182">
        <v>3101</v>
      </c>
      <c r="Q8" s="183">
        <v>2646</v>
      </c>
      <c r="R8" s="187">
        <v>1002</v>
      </c>
      <c r="S8" s="185">
        <v>27701</v>
      </c>
      <c r="U8" s="12">
        <v>2008</v>
      </c>
      <c r="V8" s="178">
        <f t="shared" si="0"/>
        <v>7334</v>
      </c>
      <c r="W8" s="179">
        <f t="shared" si="1"/>
        <v>4836</v>
      </c>
      <c r="X8" s="180">
        <f>D122+N122</f>
        <v>5559</v>
      </c>
      <c r="Y8" s="194">
        <f t="shared" si="2"/>
        <v>1625</v>
      </c>
      <c r="Z8" s="182">
        <f t="shared" si="3"/>
        <v>2765</v>
      </c>
      <c r="AA8" s="183">
        <f t="shared" si="4"/>
        <v>2398</v>
      </c>
      <c r="AB8" s="184">
        <f t="shared" si="5"/>
        <v>1017</v>
      </c>
      <c r="AC8" s="185">
        <f t="shared" si="6"/>
        <v>25533</v>
      </c>
      <c r="AE8" s="12">
        <v>2008</v>
      </c>
      <c r="AF8" s="178">
        <f t="shared" si="7"/>
        <v>14668</v>
      </c>
      <c r="AG8" s="179">
        <f t="shared" si="8"/>
        <v>11076</v>
      </c>
      <c r="AH8" s="180">
        <f t="shared" si="9"/>
        <v>10882</v>
      </c>
      <c r="AI8" s="194">
        <f t="shared" si="10"/>
        <v>3680</v>
      </c>
      <c r="AJ8" s="182">
        <f t="shared" si="11"/>
        <v>5866</v>
      </c>
      <c r="AK8" s="183">
        <f t="shared" si="11"/>
        <v>5044</v>
      </c>
      <c r="AL8" s="184">
        <f t="shared" si="11"/>
        <v>2019</v>
      </c>
      <c r="AM8" s="185">
        <f t="shared" si="11"/>
        <v>53234</v>
      </c>
    </row>
    <row r="9" spans="1:39">
      <c r="I9">
        <v>57731</v>
      </c>
      <c r="K9" s="12">
        <v>2009</v>
      </c>
      <c r="L9" s="178">
        <v>7232</v>
      </c>
      <c r="M9" s="179">
        <v>6740</v>
      </c>
      <c r="N9" s="180">
        <v>5344</v>
      </c>
      <c r="O9" s="194">
        <v>2167</v>
      </c>
      <c r="P9" s="182">
        <v>3134</v>
      </c>
      <c r="Q9" s="183">
        <v>2764</v>
      </c>
      <c r="R9" s="187">
        <v>1164</v>
      </c>
      <c r="S9" s="185">
        <v>28544</v>
      </c>
      <c r="U9" s="12">
        <v>2009</v>
      </c>
      <c r="V9" s="178">
        <f t="shared" si="0"/>
        <v>7307</v>
      </c>
      <c r="W9" s="179">
        <f t="shared" si="1"/>
        <v>5103</v>
      </c>
      <c r="X9" s="180">
        <f>D123+N123</f>
        <v>5543</v>
      </c>
      <c r="Y9" s="194">
        <f t="shared" si="2"/>
        <v>1639</v>
      </c>
      <c r="Z9" s="182">
        <f t="shared" si="3"/>
        <v>2818</v>
      </c>
      <c r="AA9" s="183">
        <f t="shared" si="4"/>
        <v>2519</v>
      </c>
      <c r="AB9" s="184">
        <f t="shared" si="5"/>
        <v>1139</v>
      </c>
      <c r="AC9" s="185">
        <f t="shared" si="6"/>
        <v>26068</v>
      </c>
      <c r="AE9" s="12">
        <v>2009</v>
      </c>
      <c r="AF9" s="178">
        <f t="shared" si="7"/>
        <v>14539</v>
      </c>
      <c r="AG9" s="179">
        <f t="shared" si="8"/>
        <v>11843</v>
      </c>
      <c r="AH9" s="180">
        <f t="shared" si="9"/>
        <v>10887</v>
      </c>
      <c r="AI9" s="194">
        <f t="shared" si="10"/>
        <v>3806</v>
      </c>
      <c r="AJ9" s="182">
        <f t="shared" si="11"/>
        <v>5952</v>
      </c>
      <c r="AK9" s="183">
        <f t="shared" si="11"/>
        <v>5283</v>
      </c>
      <c r="AL9" s="184">
        <f t="shared" si="11"/>
        <v>2303</v>
      </c>
      <c r="AM9" s="185">
        <f t="shared" si="11"/>
        <v>54612</v>
      </c>
    </row>
    <row r="10" spans="1:39">
      <c r="I10">
        <v>58396</v>
      </c>
      <c r="K10" s="12">
        <v>2010</v>
      </c>
      <c r="L10" s="178">
        <v>7172</v>
      </c>
      <c r="M10" s="179">
        <v>6949</v>
      </c>
      <c r="N10" s="180">
        <v>5279</v>
      </c>
      <c r="O10" s="194">
        <v>2178</v>
      </c>
      <c r="P10" s="182">
        <v>3003</v>
      </c>
      <c r="Q10" s="183">
        <v>2815</v>
      </c>
      <c r="R10" s="187">
        <v>1333</v>
      </c>
      <c r="S10" s="185">
        <v>28730</v>
      </c>
      <c r="U10" s="12">
        <v>2010</v>
      </c>
      <c r="V10" s="178">
        <v>4661</v>
      </c>
      <c r="W10" s="179">
        <v>2870</v>
      </c>
      <c r="X10" s="180">
        <v>3557</v>
      </c>
      <c r="Y10" s="194">
        <v>947</v>
      </c>
      <c r="Z10" s="182">
        <v>1818</v>
      </c>
      <c r="AA10" s="183">
        <v>1558</v>
      </c>
      <c r="AB10" s="184">
        <v>742</v>
      </c>
      <c r="AC10" s="185">
        <v>16152</v>
      </c>
      <c r="AE10" s="12">
        <v>2010</v>
      </c>
      <c r="AF10" s="178">
        <f t="shared" si="7"/>
        <v>11833</v>
      </c>
      <c r="AG10" s="179">
        <f t="shared" si="8"/>
        <v>9819</v>
      </c>
      <c r="AH10" s="180">
        <f t="shared" si="9"/>
        <v>8836</v>
      </c>
      <c r="AI10" s="194">
        <f t="shared" si="10"/>
        <v>3125</v>
      </c>
      <c r="AJ10" s="182">
        <f t="shared" si="11"/>
        <v>4821</v>
      </c>
      <c r="AK10" s="183">
        <f t="shared" si="11"/>
        <v>4373</v>
      </c>
      <c r="AL10" s="184">
        <f t="shared" si="11"/>
        <v>2075</v>
      </c>
      <c r="AM10" s="185">
        <f t="shared" si="11"/>
        <v>44882</v>
      </c>
    </row>
    <row r="11" spans="1:39">
      <c r="I11">
        <v>58826</v>
      </c>
      <c r="K11" s="12">
        <v>2011</v>
      </c>
      <c r="L11" s="178">
        <v>7028</v>
      </c>
      <c r="M11" s="179">
        <v>7201</v>
      </c>
      <c r="N11" s="180">
        <v>5259</v>
      </c>
      <c r="O11" s="194">
        <v>2204</v>
      </c>
      <c r="P11" s="182">
        <v>2891</v>
      </c>
      <c r="Q11" s="183">
        <v>2945</v>
      </c>
      <c r="R11" s="187">
        <v>1606</v>
      </c>
      <c r="S11" s="185">
        <v>29134</v>
      </c>
      <c r="U11" s="12">
        <v>2011</v>
      </c>
      <c r="V11" s="178">
        <v>4740</v>
      </c>
      <c r="W11" s="179">
        <v>2931</v>
      </c>
      <c r="X11" s="180">
        <v>3565</v>
      </c>
      <c r="Y11" s="194">
        <v>942</v>
      </c>
      <c r="Z11" s="182">
        <v>1763</v>
      </c>
      <c r="AA11" s="183">
        <v>1642</v>
      </c>
      <c r="AB11" s="184">
        <v>841</v>
      </c>
      <c r="AC11" s="185">
        <v>16425</v>
      </c>
      <c r="AE11" s="12">
        <v>2011</v>
      </c>
      <c r="AF11" s="178">
        <f t="shared" si="7"/>
        <v>11768</v>
      </c>
      <c r="AG11" s="179">
        <f t="shared" si="8"/>
        <v>10132</v>
      </c>
      <c r="AH11" s="180">
        <f t="shared" si="9"/>
        <v>8824</v>
      </c>
      <c r="AI11" s="194">
        <f t="shared" si="10"/>
        <v>3146</v>
      </c>
      <c r="AJ11" s="182">
        <f t="shared" si="11"/>
        <v>4654</v>
      </c>
      <c r="AK11" s="183">
        <f t="shared" si="11"/>
        <v>4587</v>
      </c>
      <c r="AL11" s="184">
        <f t="shared" si="11"/>
        <v>2447</v>
      </c>
      <c r="AM11" s="185">
        <f t="shared" si="11"/>
        <v>45559</v>
      </c>
    </row>
    <row r="12" spans="1:39">
      <c r="I12">
        <v>59932</v>
      </c>
      <c r="K12" s="12">
        <v>2012</v>
      </c>
      <c r="L12" s="178">
        <v>6788</v>
      </c>
      <c r="M12" s="179">
        <v>7364</v>
      </c>
      <c r="N12" s="180">
        <v>5113</v>
      </c>
      <c r="O12" s="194">
        <v>2208</v>
      </c>
      <c r="P12" s="182">
        <v>2743</v>
      </c>
      <c r="Q12" s="183">
        <v>3099</v>
      </c>
      <c r="R12" s="187">
        <v>2008</v>
      </c>
      <c r="S12" s="185">
        <v>29324</v>
      </c>
      <c r="U12" s="12">
        <v>2012</v>
      </c>
      <c r="V12" s="178">
        <v>4804</v>
      </c>
      <c r="W12" s="179">
        <v>3029</v>
      </c>
      <c r="X12" s="180">
        <v>3549</v>
      </c>
      <c r="Y12" s="194">
        <v>970</v>
      </c>
      <c r="Z12" s="182">
        <v>1725</v>
      </c>
      <c r="AA12" s="183">
        <v>1794</v>
      </c>
      <c r="AB12" s="184">
        <v>995</v>
      </c>
      <c r="AC12" s="185">
        <v>16866</v>
      </c>
      <c r="AE12" s="12">
        <v>2012</v>
      </c>
      <c r="AF12" s="178">
        <f t="shared" si="7"/>
        <v>11592</v>
      </c>
      <c r="AG12" s="179">
        <f t="shared" si="8"/>
        <v>10393</v>
      </c>
      <c r="AH12" s="180">
        <f t="shared" si="9"/>
        <v>8662</v>
      </c>
      <c r="AI12" s="194">
        <f t="shared" si="10"/>
        <v>3178</v>
      </c>
      <c r="AJ12" s="182">
        <f t="shared" si="11"/>
        <v>4468</v>
      </c>
      <c r="AK12" s="183">
        <f t="shared" si="11"/>
        <v>4893</v>
      </c>
      <c r="AL12" s="184">
        <f t="shared" si="11"/>
        <v>3003</v>
      </c>
      <c r="AM12" s="185">
        <f t="shared" si="11"/>
        <v>46190</v>
      </c>
    </row>
    <row r="13" spans="1:39">
      <c r="I13">
        <v>58394</v>
      </c>
      <c r="K13" s="12">
        <v>2013</v>
      </c>
      <c r="L13" s="178">
        <v>7301</v>
      </c>
      <c r="M13" s="179">
        <v>6914</v>
      </c>
      <c r="N13" s="180">
        <v>5450</v>
      </c>
      <c r="O13" s="194">
        <v>1874</v>
      </c>
      <c r="P13" s="182">
        <v>2404</v>
      </c>
      <c r="Q13" s="183">
        <v>2505</v>
      </c>
      <c r="R13" s="187">
        <v>2042</v>
      </c>
      <c r="S13" s="185">
        <v>28489</v>
      </c>
      <c r="U13" s="12">
        <v>2013</v>
      </c>
      <c r="V13" s="178">
        <v>5085</v>
      </c>
      <c r="W13" s="179">
        <v>2883</v>
      </c>
      <c r="X13" s="180">
        <v>3661</v>
      </c>
      <c r="Y13" s="194">
        <v>823</v>
      </c>
      <c r="Z13" s="182">
        <v>1544</v>
      </c>
      <c r="AA13" s="183">
        <v>1573</v>
      </c>
      <c r="AB13" s="184">
        <v>1035</v>
      </c>
      <c r="AC13" s="185">
        <v>16604</v>
      </c>
      <c r="AE13" s="12">
        <v>2013</v>
      </c>
      <c r="AF13" s="178">
        <f t="shared" si="7"/>
        <v>12386</v>
      </c>
      <c r="AG13" s="179">
        <f t="shared" si="8"/>
        <v>9797</v>
      </c>
      <c r="AH13" s="180">
        <f t="shared" si="9"/>
        <v>9111</v>
      </c>
      <c r="AI13" s="194">
        <f t="shared" si="10"/>
        <v>2697</v>
      </c>
      <c r="AJ13" s="182">
        <f t="shared" si="11"/>
        <v>3948</v>
      </c>
      <c r="AK13" s="183">
        <f t="shared" si="11"/>
        <v>4078</v>
      </c>
      <c r="AL13" s="184">
        <f t="shared" si="11"/>
        <v>3077</v>
      </c>
      <c r="AM13" s="185">
        <f t="shared" si="11"/>
        <v>45093</v>
      </c>
    </row>
    <row r="14" spans="1:39">
      <c r="I14">
        <v>61910</v>
      </c>
      <c r="K14" s="12">
        <v>2014</v>
      </c>
      <c r="L14" s="178">
        <v>7499</v>
      </c>
      <c r="M14" s="179">
        <v>8322</v>
      </c>
      <c r="N14" s="180">
        <v>6055</v>
      </c>
      <c r="O14" s="194">
        <v>1752</v>
      </c>
      <c r="P14" s="182">
        <v>2292</v>
      </c>
      <c r="Q14" s="183">
        <v>2357</v>
      </c>
      <c r="R14" s="187">
        <v>2271</v>
      </c>
      <c r="S14" s="185">
        <v>30548</v>
      </c>
      <c r="U14" s="12">
        <v>2014</v>
      </c>
      <c r="V14" s="178">
        <v>5083</v>
      </c>
      <c r="W14" s="179">
        <v>3496</v>
      </c>
      <c r="X14" s="180">
        <v>3866</v>
      </c>
      <c r="Y14" s="194">
        <v>775</v>
      </c>
      <c r="Z14" s="182">
        <v>1495</v>
      </c>
      <c r="AA14" s="183">
        <v>1489</v>
      </c>
      <c r="AB14" s="184">
        <v>1168</v>
      </c>
      <c r="AC14" s="185">
        <v>17371</v>
      </c>
      <c r="AE14" s="12">
        <v>2014</v>
      </c>
      <c r="AF14" s="178">
        <f t="shared" si="7"/>
        <v>12582</v>
      </c>
      <c r="AG14" s="179">
        <f t="shared" si="8"/>
        <v>11818</v>
      </c>
      <c r="AH14" s="180">
        <f t="shared" si="9"/>
        <v>9921</v>
      </c>
      <c r="AI14" s="194">
        <f t="shared" si="10"/>
        <v>2527</v>
      </c>
      <c r="AJ14" s="182">
        <f t="shared" si="11"/>
        <v>3787</v>
      </c>
      <c r="AK14" s="183">
        <f t="shared" si="11"/>
        <v>3846</v>
      </c>
      <c r="AL14" s="184">
        <f t="shared" si="11"/>
        <v>3439</v>
      </c>
      <c r="AM14" s="185">
        <f t="shared" si="11"/>
        <v>47919</v>
      </c>
    </row>
    <row r="15" spans="1:39">
      <c r="I15">
        <v>60214</v>
      </c>
      <c r="K15" s="12">
        <v>2015</v>
      </c>
      <c r="L15" s="178">
        <v>7243</v>
      </c>
      <c r="M15" s="179">
        <v>8046</v>
      </c>
      <c r="N15" s="180">
        <v>6136</v>
      </c>
      <c r="O15" s="194">
        <v>1500</v>
      </c>
      <c r="P15" s="182">
        <v>1972</v>
      </c>
      <c r="Q15" s="183">
        <v>2047</v>
      </c>
      <c r="R15" s="187">
        <v>2296</v>
      </c>
      <c r="S15" s="185">
        <v>29241</v>
      </c>
      <c r="U15" s="12">
        <v>2015</v>
      </c>
      <c r="V15" s="178">
        <v>4912</v>
      </c>
      <c r="W15" s="179">
        <v>3580</v>
      </c>
      <c r="X15" s="180">
        <v>3866</v>
      </c>
      <c r="Y15" s="194">
        <v>691</v>
      </c>
      <c r="Z15" s="182">
        <v>1349</v>
      </c>
      <c r="AA15" s="183">
        <v>1338</v>
      </c>
      <c r="AB15" s="184">
        <v>1235</v>
      </c>
      <c r="AC15" s="185">
        <v>16970</v>
      </c>
      <c r="AE15" s="12">
        <v>2015</v>
      </c>
      <c r="AF15" s="178">
        <f t="shared" si="7"/>
        <v>12155</v>
      </c>
      <c r="AG15" s="179">
        <f t="shared" si="8"/>
        <v>11626</v>
      </c>
      <c r="AH15" s="180">
        <f t="shared" si="9"/>
        <v>10002</v>
      </c>
      <c r="AI15" s="194">
        <f t="shared" si="10"/>
        <v>2191</v>
      </c>
      <c r="AJ15" s="182">
        <f t="shared" si="11"/>
        <v>3321</v>
      </c>
      <c r="AK15" s="183">
        <f t="shared" si="11"/>
        <v>3385</v>
      </c>
      <c r="AL15" s="184">
        <f t="shared" si="11"/>
        <v>3531</v>
      </c>
      <c r="AM15" s="185">
        <f t="shared" si="11"/>
        <v>46211</v>
      </c>
    </row>
    <row r="16" spans="1:39">
      <c r="I16">
        <v>61439</v>
      </c>
      <c r="K16" s="12">
        <v>2016</v>
      </c>
      <c r="L16" s="178">
        <v>7706</v>
      </c>
      <c r="M16" s="179">
        <v>8323</v>
      </c>
      <c r="N16" s="180">
        <v>6933</v>
      </c>
      <c r="O16" s="194">
        <v>1379</v>
      </c>
      <c r="P16" s="182">
        <v>1789</v>
      </c>
      <c r="Q16" s="183">
        <v>1893</v>
      </c>
      <c r="R16" s="187">
        <v>2465</v>
      </c>
      <c r="S16" s="185">
        <v>30489</v>
      </c>
      <c r="U16" s="12">
        <v>2016</v>
      </c>
      <c r="V16" s="178">
        <v>4942</v>
      </c>
      <c r="W16" s="179">
        <v>3758</v>
      </c>
      <c r="X16" s="180">
        <v>4079</v>
      </c>
      <c r="Y16" s="194">
        <v>633</v>
      </c>
      <c r="Z16" s="182">
        <v>1226</v>
      </c>
      <c r="AA16" s="183">
        <v>1231</v>
      </c>
      <c r="AB16" s="184">
        <v>1320</v>
      </c>
      <c r="AC16" s="185">
        <v>17190</v>
      </c>
      <c r="AE16" s="12">
        <v>2016</v>
      </c>
      <c r="AF16" s="178">
        <f t="shared" si="7"/>
        <v>12648</v>
      </c>
      <c r="AG16" s="179">
        <f t="shared" si="8"/>
        <v>12081</v>
      </c>
      <c r="AH16" s="180">
        <f t="shared" si="9"/>
        <v>11012</v>
      </c>
      <c r="AI16" s="194">
        <f t="shared" si="10"/>
        <v>2012</v>
      </c>
      <c r="AJ16" s="182">
        <f t="shared" si="11"/>
        <v>3015</v>
      </c>
      <c r="AK16" s="183">
        <f t="shared" si="11"/>
        <v>3124</v>
      </c>
      <c r="AL16" s="184">
        <f t="shared" si="11"/>
        <v>3785</v>
      </c>
      <c r="AM16" s="185">
        <f t="shared" si="11"/>
        <v>47679</v>
      </c>
    </row>
    <row r="17" spans="1:39">
      <c r="I17">
        <v>59992</v>
      </c>
      <c r="K17" s="12">
        <v>2017</v>
      </c>
      <c r="L17" s="178">
        <v>7888</v>
      </c>
      <c r="M17" s="179">
        <v>8203</v>
      </c>
      <c r="N17" s="180">
        <v>7242</v>
      </c>
      <c r="O17" s="194">
        <v>1220</v>
      </c>
      <c r="P17" s="182">
        <v>1523</v>
      </c>
      <c r="Q17" s="183">
        <v>1652</v>
      </c>
      <c r="R17" s="187">
        <v>1036</v>
      </c>
      <c r="S17" s="185">
        <v>30231</v>
      </c>
      <c r="U17" s="12">
        <v>2017</v>
      </c>
      <c r="V17" s="178">
        <v>4786</v>
      </c>
      <c r="W17" s="179">
        <v>3829</v>
      </c>
      <c r="X17" s="180">
        <v>4048</v>
      </c>
      <c r="Y17" s="194">
        <v>571</v>
      </c>
      <c r="Z17" s="182">
        <v>1055</v>
      </c>
      <c r="AA17" s="183">
        <v>1082</v>
      </c>
      <c r="AB17" s="184">
        <v>550</v>
      </c>
      <c r="AC17" s="185">
        <v>16713</v>
      </c>
      <c r="AE17" s="12">
        <v>2017</v>
      </c>
      <c r="AF17" s="178">
        <f t="shared" si="7"/>
        <v>12674</v>
      </c>
      <c r="AG17" s="179">
        <f t="shared" si="8"/>
        <v>12032</v>
      </c>
      <c r="AH17" s="180">
        <f t="shared" si="9"/>
        <v>11290</v>
      </c>
      <c r="AI17" s="194">
        <f t="shared" si="10"/>
        <v>1791</v>
      </c>
      <c r="AJ17" s="182">
        <f t="shared" si="11"/>
        <v>2578</v>
      </c>
      <c r="AK17" s="183">
        <f t="shared" si="11"/>
        <v>2734</v>
      </c>
      <c r="AL17" s="184">
        <f t="shared" si="11"/>
        <v>1586</v>
      </c>
      <c r="AM17" s="185">
        <f t="shared" si="11"/>
        <v>46944</v>
      </c>
    </row>
    <row r="18" spans="1:39">
      <c r="I18">
        <v>60793</v>
      </c>
      <c r="K18" s="12">
        <v>2018</v>
      </c>
      <c r="L18" s="178">
        <v>8216</v>
      </c>
      <c r="M18" s="179">
        <v>8009</v>
      </c>
      <c r="N18" s="180">
        <v>7215</v>
      </c>
      <c r="O18" s="194">
        <v>1203</v>
      </c>
      <c r="P18" s="182">
        <v>1502</v>
      </c>
      <c r="Q18" s="183">
        <v>1629</v>
      </c>
      <c r="R18" s="187">
        <v>1022</v>
      </c>
      <c r="S18" s="185">
        <v>30241</v>
      </c>
      <c r="U18" s="12">
        <v>2018</v>
      </c>
      <c r="V18" s="178">
        <v>4960</v>
      </c>
      <c r="W18" s="179">
        <v>3783</v>
      </c>
      <c r="X18" s="180">
        <v>4139</v>
      </c>
      <c r="Y18" s="194">
        <v>570</v>
      </c>
      <c r="Z18" s="182">
        <v>1054</v>
      </c>
      <c r="AA18" s="183">
        <v>1080</v>
      </c>
      <c r="AB18" s="184">
        <v>549</v>
      </c>
      <c r="AC18" s="185">
        <v>16925</v>
      </c>
      <c r="AE18" s="12">
        <v>2018</v>
      </c>
      <c r="AF18" s="178">
        <f t="shared" si="7"/>
        <v>13176</v>
      </c>
      <c r="AG18" s="179">
        <f t="shared" si="8"/>
        <v>11792</v>
      </c>
      <c r="AH18" s="180">
        <f t="shared" si="9"/>
        <v>11354</v>
      </c>
      <c r="AI18" s="194">
        <f t="shared" si="10"/>
        <v>1773</v>
      </c>
      <c r="AJ18" s="182">
        <f t="shared" si="11"/>
        <v>2556</v>
      </c>
      <c r="AK18" s="183">
        <f t="shared" si="11"/>
        <v>2709</v>
      </c>
      <c r="AL18" s="184">
        <f t="shared" si="11"/>
        <v>1571</v>
      </c>
      <c r="AM18" s="185">
        <f t="shared" si="11"/>
        <v>47166</v>
      </c>
    </row>
    <row r="19" spans="1:39">
      <c r="I19">
        <v>61025</v>
      </c>
      <c r="K19" s="12">
        <v>2019</v>
      </c>
      <c r="L19" s="178">
        <v>7850</v>
      </c>
      <c r="M19" s="179">
        <v>8206</v>
      </c>
      <c r="N19" s="180">
        <v>7035</v>
      </c>
      <c r="O19" s="194">
        <v>1239</v>
      </c>
      <c r="P19" s="182">
        <v>1567</v>
      </c>
      <c r="Q19" s="183">
        <v>1678</v>
      </c>
      <c r="R19" s="187">
        <v>1052</v>
      </c>
      <c r="S19" s="185">
        <v>30115</v>
      </c>
      <c r="U19" s="12">
        <v>2019</v>
      </c>
      <c r="V19" s="178">
        <v>4792</v>
      </c>
      <c r="W19" s="179">
        <v>3839</v>
      </c>
      <c r="X19" s="180">
        <v>3980</v>
      </c>
      <c r="Y19" s="194">
        <v>587</v>
      </c>
      <c r="Z19" s="182">
        <v>1098</v>
      </c>
      <c r="AA19" s="183">
        <v>1111</v>
      </c>
      <c r="AB19" s="184">
        <v>565</v>
      </c>
      <c r="AC19" s="185">
        <v>16785</v>
      </c>
      <c r="AE19" s="12">
        <v>2019</v>
      </c>
      <c r="AF19" s="178">
        <f t="shared" si="7"/>
        <v>12642</v>
      </c>
      <c r="AG19" s="179">
        <f t="shared" si="8"/>
        <v>12045</v>
      </c>
      <c r="AH19" s="180">
        <f t="shared" si="9"/>
        <v>11015</v>
      </c>
      <c r="AI19" s="194">
        <f t="shared" si="10"/>
        <v>1826</v>
      </c>
      <c r="AJ19" s="182">
        <f t="shared" si="11"/>
        <v>2665</v>
      </c>
      <c r="AK19" s="183">
        <f t="shared" si="11"/>
        <v>2789</v>
      </c>
      <c r="AL19" s="184">
        <f t="shared" si="11"/>
        <v>1617</v>
      </c>
      <c r="AM19" s="185">
        <f t="shared" si="11"/>
        <v>46900</v>
      </c>
    </row>
    <row r="20" spans="1:39">
      <c r="I20">
        <v>66416</v>
      </c>
      <c r="K20" s="12">
        <v>2020</v>
      </c>
      <c r="L20" s="178">
        <v>8417</v>
      </c>
      <c r="M20" s="179">
        <v>9257</v>
      </c>
      <c r="N20" s="180">
        <v>7711</v>
      </c>
      <c r="O20" s="194">
        <v>1320</v>
      </c>
      <c r="P20" s="182">
        <v>1667</v>
      </c>
      <c r="Q20" s="183">
        <v>1788</v>
      </c>
      <c r="R20" s="187">
        <v>1122</v>
      </c>
      <c r="S20" s="185">
        <v>32856</v>
      </c>
      <c r="U20" s="12">
        <v>2020</v>
      </c>
      <c r="V20" s="178">
        <v>5131</v>
      </c>
      <c r="W20" s="179">
        <v>4280</v>
      </c>
      <c r="X20" s="180">
        <v>4318</v>
      </c>
      <c r="Y20" s="194">
        <v>617</v>
      </c>
      <c r="Z20" s="182">
        <v>1153</v>
      </c>
      <c r="AA20" s="183">
        <v>1169</v>
      </c>
      <c r="AB20" s="184">
        <v>595</v>
      </c>
      <c r="AC20" s="185">
        <v>18119</v>
      </c>
      <c r="AE20" s="12">
        <v>2020</v>
      </c>
      <c r="AF20" s="178">
        <f t="shared" si="7"/>
        <v>13548</v>
      </c>
      <c r="AG20" s="179">
        <f t="shared" si="8"/>
        <v>13537</v>
      </c>
      <c r="AH20" s="180">
        <f t="shared" si="9"/>
        <v>12029</v>
      </c>
      <c r="AI20" s="194">
        <f t="shared" si="10"/>
        <v>1937</v>
      </c>
      <c r="AJ20" s="182">
        <f t="shared" si="11"/>
        <v>2820</v>
      </c>
      <c r="AK20" s="183">
        <f t="shared" si="11"/>
        <v>2957</v>
      </c>
      <c r="AL20" s="184">
        <f t="shared" si="11"/>
        <v>1717</v>
      </c>
      <c r="AM20" s="185">
        <f t="shared" si="11"/>
        <v>50975</v>
      </c>
    </row>
    <row r="21" spans="1:39">
      <c r="I21">
        <v>66721</v>
      </c>
      <c r="K21" s="12">
        <v>2021</v>
      </c>
      <c r="L21" s="178">
        <v>8198</v>
      </c>
      <c r="M21" s="179">
        <v>9309</v>
      </c>
      <c r="N21" s="180">
        <v>7349</v>
      </c>
      <c r="O21" s="194">
        <v>1301</v>
      </c>
      <c r="P21" s="182">
        <v>1651</v>
      </c>
      <c r="Q21" s="183">
        <v>1762</v>
      </c>
      <c r="R21" s="187">
        <v>1105</v>
      </c>
      <c r="S21" s="185">
        <v>32236</v>
      </c>
      <c r="U21" s="12">
        <v>2021</v>
      </c>
      <c r="V21" s="178">
        <v>5121</v>
      </c>
      <c r="W21" s="179">
        <v>4466</v>
      </c>
      <c r="X21" s="180">
        <v>4249</v>
      </c>
      <c r="Y21" s="194">
        <v>630</v>
      </c>
      <c r="Z21" s="182">
        <v>1183</v>
      </c>
      <c r="AA21" s="183">
        <v>1193</v>
      </c>
      <c r="AB21" s="184">
        <v>607</v>
      </c>
      <c r="AC21" s="185">
        <v>18298</v>
      </c>
      <c r="AE21" s="12">
        <v>2021</v>
      </c>
      <c r="AF21" s="178">
        <f t="shared" si="7"/>
        <v>13319</v>
      </c>
      <c r="AG21" s="179">
        <f t="shared" si="8"/>
        <v>13775</v>
      </c>
      <c r="AH21" s="180">
        <f t="shared" si="9"/>
        <v>11598</v>
      </c>
      <c r="AI21" s="194">
        <f t="shared" si="10"/>
        <v>1931</v>
      </c>
      <c r="AJ21" s="182">
        <f t="shared" si="11"/>
        <v>2834</v>
      </c>
      <c r="AK21" s="183">
        <f t="shared" si="11"/>
        <v>2955</v>
      </c>
      <c r="AL21" s="184">
        <f t="shared" si="11"/>
        <v>1712</v>
      </c>
      <c r="AM21" s="185">
        <f t="shared" si="11"/>
        <v>50534</v>
      </c>
    </row>
    <row r="23" spans="1:39">
      <c r="A23" s="98" t="s">
        <v>578</v>
      </c>
      <c r="B23" s="17"/>
      <c r="C23" s="17"/>
      <c r="D23" s="17"/>
      <c r="E23" s="17"/>
      <c r="F23" s="17"/>
      <c r="G23" s="17"/>
      <c r="H23" s="17"/>
      <c r="I23" s="17"/>
    </row>
    <row r="24" spans="1:39">
      <c r="A24" s="23" t="s">
        <v>557</v>
      </c>
      <c r="B24" t="s">
        <v>510</v>
      </c>
      <c r="C24" t="s">
        <v>511</v>
      </c>
      <c r="D24" t="s">
        <v>512</v>
      </c>
      <c r="E24" t="s">
        <v>513</v>
      </c>
      <c r="F24" t="s">
        <v>514</v>
      </c>
      <c r="G24" t="s">
        <v>515</v>
      </c>
      <c r="H24" t="s">
        <v>516</v>
      </c>
      <c r="I24" s="24" t="s">
        <v>517</v>
      </c>
      <c r="K24" s="54" t="s">
        <v>566</v>
      </c>
      <c r="U24" s="54" t="s">
        <v>567</v>
      </c>
      <c r="AE24" s="54" t="s">
        <v>568</v>
      </c>
    </row>
    <row r="25" spans="1:39" ht="25.5">
      <c r="A25" s="23">
        <v>2005</v>
      </c>
      <c r="B25" s="17">
        <v>0.23</v>
      </c>
      <c r="C25" s="17">
        <v>0.21</v>
      </c>
      <c r="D25" s="17">
        <v>0.08</v>
      </c>
      <c r="E25" s="17">
        <v>0.11</v>
      </c>
      <c r="F25" s="17">
        <v>0.08</v>
      </c>
      <c r="G25" s="17">
        <v>0.26</v>
      </c>
      <c r="H25" s="17">
        <v>0.03</v>
      </c>
      <c r="I25" s="25">
        <f>SUM(B25:H25)</f>
        <v>1</v>
      </c>
      <c r="K25" s="2" t="s">
        <v>496</v>
      </c>
      <c r="L25" s="170" t="s">
        <v>571</v>
      </c>
      <c r="M25" s="171" t="s">
        <v>572</v>
      </c>
      <c r="N25" s="172" t="s">
        <v>573</v>
      </c>
      <c r="O25" s="173" t="s">
        <v>574</v>
      </c>
      <c r="P25" s="174" t="s">
        <v>575</v>
      </c>
      <c r="Q25" s="175" t="s">
        <v>576</v>
      </c>
      <c r="R25" s="176" t="s">
        <v>577</v>
      </c>
      <c r="S25" s="177" t="s">
        <v>500</v>
      </c>
      <c r="U25" s="2" t="s">
        <v>496</v>
      </c>
      <c r="V25" s="170" t="s">
        <v>571</v>
      </c>
      <c r="W25" s="171" t="s">
        <v>572</v>
      </c>
      <c r="X25" s="172" t="s">
        <v>573</v>
      </c>
      <c r="Y25" s="173" t="s">
        <v>574</v>
      </c>
      <c r="Z25" s="174" t="s">
        <v>575</v>
      </c>
      <c r="AA25" s="175" t="s">
        <v>576</v>
      </c>
      <c r="AB25" s="176" t="s">
        <v>577</v>
      </c>
      <c r="AC25" s="177" t="s">
        <v>500</v>
      </c>
      <c r="AE25" s="2" t="s">
        <v>496</v>
      </c>
      <c r="AF25" s="170" t="s">
        <v>571</v>
      </c>
      <c r="AG25" s="171" t="s">
        <v>572</v>
      </c>
      <c r="AH25" s="172" t="s">
        <v>573</v>
      </c>
      <c r="AI25" s="173" t="s">
        <v>574</v>
      </c>
      <c r="AJ25" s="174" t="s">
        <v>575</v>
      </c>
      <c r="AK25" s="175" t="s">
        <v>576</v>
      </c>
      <c r="AL25" s="176" t="s">
        <v>577</v>
      </c>
      <c r="AM25" s="177" t="s">
        <v>500</v>
      </c>
    </row>
    <row r="26" spans="1:39">
      <c r="A26" s="23">
        <v>2006</v>
      </c>
      <c r="B26" s="17">
        <v>0.22</v>
      </c>
      <c r="C26" s="17">
        <v>0.2</v>
      </c>
      <c r="D26" s="17">
        <v>0.08</v>
      </c>
      <c r="E26" s="17">
        <v>0.11</v>
      </c>
      <c r="F26" s="17">
        <v>0.09</v>
      </c>
      <c r="G26" s="17">
        <v>0.26</v>
      </c>
      <c r="H26" s="17">
        <v>0.04</v>
      </c>
      <c r="I26" s="25">
        <f>SUM(B26:H26)</f>
        <v>1</v>
      </c>
      <c r="K26" s="12">
        <v>2006</v>
      </c>
      <c r="L26" s="196">
        <f>L6/$S6</f>
        <v>0.26050131624127276</v>
      </c>
      <c r="M26" s="197">
        <f t="shared" ref="M26:S26" si="12">M6/$S6</f>
        <v>0.23356606005112357</v>
      </c>
      <c r="N26" s="198">
        <f t="shared" si="12"/>
        <v>0.19358284689634123</v>
      </c>
      <c r="O26" s="199">
        <f t="shared" si="12"/>
        <v>8.1950326198924117E-2</v>
      </c>
      <c r="P26" s="200">
        <f t="shared" si="12"/>
        <v>0.10796993628629202</v>
      </c>
      <c r="Q26" s="201">
        <f t="shared" si="12"/>
        <v>8.8169089313646948E-2</v>
      </c>
      <c r="R26" s="202">
        <f t="shared" si="12"/>
        <v>3.4260425012399377E-2</v>
      </c>
      <c r="S26" s="203">
        <f t="shared" si="12"/>
        <v>1</v>
      </c>
      <c r="U26" s="12">
        <v>2006</v>
      </c>
      <c r="V26" s="196">
        <f>V6/$AC6</f>
        <v>0.27636480153803022</v>
      </c>
      <c r="W26" s="197">
        <f t="shared" ref="W26:AC26" si="13">W6/$AC6</f>
        <v>0.20050466615933032</v>
      </c>
      <c r="X26" s="198">
        <f t="shared" si="13"/>
        <v>0.21968999078783996</v>
      </c>
      <c r="Y26" s="199">
        <f t="shared" si="13"/>
        <v>7.0493050827091758E-2</v>
      </c>
      <c r="Z26" s="200">
        <f t="shared" si="13"/>
        <v>0.10638042215724756</v>
      </c>
      <c r="AA26" s="201">
        <f t="shared" si="13"/>
        <v>8.8556895101534028E-2</v>
      </c>
      <c r="AB26" s="202">
        <f t="shared" si="13"/>
        <v>3.7970120559138065E-2</v>
      </c>
      <c r="AC26" s="203">
        <f t="shared" si="13"/>
        <v>1</v>
      </c>
      <c r="AE26" s="12">
        <v>2006</v>
      </c>
      <c r="AF26" s="196">
        <f t="shared" ref="AF26:AF32" si="14">(L26*$S6+V26*$AC6)/$I6</f>
        <v>0.25430699121929534</v>
      </c>
      <c r="AG26" s="197">
        <f t="shared" ref="AG26:AM26" si="15">(M26*$S6+W26*$AC6)/$I6</f>
        <v>0.20614278833685304</v>
      </c>
      <c r="AH26" s="198">
        <f t="shared" si="15"/>
        <v>0.19560223778296471</v>
      </c>
      <c r="AI26" s="199">
        <f t="shared" si="15"/>
        <v>7.2394501870994041E-2</v>
      </c>
      <c r="AJ26" s="200">
        <f t="shared" si="15"/>
        <v>0.10162646808195325</v>
      </c>
      <c r="AK26" s="201">
        <f t="shared" si="15"/>
        <v>8.3768663628616943E-2</v>
      </c>
      <c r="AL26" s="202">
        <f t="shared" si="15"/>
        <v>3.4196584046534036E-2</v>
      </c>
      <c r="AM26" s="203">
        <f t="shared" si="15"/>
        <v>0.94805675966062763</v>
      </c>
    </row>
    <row r="27" spans="1:39">
      <c r="A27" s="23">
        <v>2007</v>
      </c>
      <c r="B27" s="19" t="s">
        <v>521</v>
      </c>
      <c r="C27" s="19"/>
      <c r="D27" s="19"/>
      <c r="E27" s="19"/>
      <c r="F27" s="19"/>
      <c r="G27" s="19"/>
      <c r="H27" s="19"/>
      <c r="I27" s="31"/>
      <c r="K27" s="12">
        <v>2007</v>
      </c>
      <c r="L27" s="196">
        <f>L7/$S7</f>
        <v>0.26087607077394981</v>
      </c>
      <c r="M27" s="197">
        <f t="shared" ref="M27:S27" si="16">M7/$S7</f>
        <v>0.23102532450529309</v>
      </c>
      <c r="N27" s="198">
        <f t="shared" si="16"/>
        <v>0.19092507387872668</v>
      </c>
      <c r="O27" s="199">
        <f t="shared" si="16"/>
        <v>7.8554595443833461E-2</v>
      </c>
      <c r="P27" s="200">
        <f t="shared" si="16"/>
        <v>0.11079938652601654</v>
      </c>
      <c r="Q27" s="201">
        <f t="shared" si="16"/>
        <v>9.2357760071821338E-2</v>
      </c>
      <c r="R27" s="202">
        <f t="shared" si="16"/>
        <v>3.5461788800359106E-2</v>
      </c>
      <c r="S27" s="203">
        <f t="shared" si="16"/>
        <v>1</v>
      </c>
      <c r="U27" s="12">
        <v>2007</v>
      </c>
      <c r="V27" s="196">
        <f t="shared" ref="V27:AC27" si="17">V7/$AC7</f>
        <v>0.27885646217986898</v>
      </c>
      <c r="W27" s="197">
        <f t="shared" si="17"/>
        <v>0.19706174310105221</v>
      </c>
      <c r="X27" s="198">
        <f t="shared" si="17"/>
        <v>0.21584276354973198</v>
      </c>
      <c r="Y27" s="199">
        <f t="shared" si="17"/>
        <v>6.7857851895969823E-2</v>
      </c>
      <c r="Z27" s="200">
        <f t="shared" si="17"/>
        <v>0.10883462378399841</v>
      </c>
      <c r="AA27" s="201">
        <f t="shared" si="17"/>
        <v>9.223744292237443E-2</v>
      </c>
      <c r="AB27" s="202">
        <f t="shared" si="17"/>
        <v>3.9309112567004166E-2</v>
      </c>
      <c r="AC27" s="203">
        <f t="shared" si="17"/>
        <v>1</v>
      </c>
      <c r="AE27" s="12">
        <v>2007</v>
      </c>
      <c r="AF27" s="196">
        <f t="shared" si="14"/>
        <v>0.25580715316994718</v>
      </c>
      <c r="AG27" s="197">
        <f t="shared" ref="AG27:AM32" si="18">(M27*$S7+W27*$AC7)/$I7</f>
        <v>0.2035747573880147</v>
      </c>
      <c r="AH27" s="198">
        <f t="shared" si="18"/>
        <v>0.19262751978361387</v>
      </c>
      <c r="AI27" s="199">
        <f t="shared" si="18"/>
        <v>6.9612734616298411E-2</v>
      </c>
      <c r="AJ27" s="200">
        <f t="shared" si="18"/>
        <v>0.10422720543889467</v>
      </c>
      <c r="AK27" s="201">
        <f t="shared" si="18"/>
        <v>8.7577900835206612E-2</v>
      </c>
      <c r="AL27" s="202">
        <f t="shared" si="18"/>
        <v>3.5418608476341908E-2</v>
      </c>
      <c r="AM27" s="203">
        <f t="shared" si="18"/>
        <v>0.94884587970831735</v>
      </c>
    </row>
    <row r="28" spans="1:39">
      <c r="A28" s="23">
        <v>2008</v>
      </c>
      <c r="B28" s="19" t="s">
        <v>523</v>
      </c>
      <c r="C28" s="19"/>
      <c r="D28" s="19"/>
      <c r="E28" s="19"/>
      <c r="F28" s="19"/>
      <c r="G28" s="19"/>
      <c r="H28" s="19"/>
      <c r="I28" s="31"/>
      <c r="K28" s="12">
        <v>2008</v>
      </c>
      <c r="L28" s="196">
        <f>L8/$S8</f>
        <v>0.26475578498971158</v>
      </c>
      <c r="M28" s="197">
        <f t="shared" ref="M28:S28" si="19">M8/$S8</f>
        <v>0.22526262589798202</v>
      </c>
      <c r="N28" s="198">
        <f t="shared" si="19"/>
        <v>0.19215912782932024</v>
      </c>
      <c r="O28" s="199">
        <f t="shared" si="19"/>
        <v>7.4185047471210422E-2</v>
      </c>
      <c r="P28" s="200">
        <f t="shared" si="19"/>
        <v>0.11194541713295549</v>
      </c>
      <c r="Q28" s="201">
        <f t="shared" si="19"/>
        <v>9.5520017327894294E-2</v>
      </c>
      <c r="R28" s="202">
        <f t="shared" si="19"/>
        <v>3.6171979350925962E-2</v>
      </c>
      <c r="S28" s="203">
        <f t="shared" si="19"/>
        <v>1</v>
      </c>
      <c r="U28" s="12">
        <v>2008</v>
      </c>
      <c r="V28" s="196">
        <f t="shared" ref="V28:AC28" si="20">V8/$AC8</f>
        <v>0.28723612579798691</v>
      </c>
      <c r="W28" s="197">
        <f t="shared" si="20"/>
        <v>0.18940195041710728</v>
      </c>
      <c r="X28" s="198">
        <f t="shared" si="20"/>
        <v>0.21771824697450359</v>
      </c>
      <c r="Y28" s="199">
        <f t="shared" si="20"/>
        <v>6.364312850037207E-2</v>
      </c>
      <c r="Z28" s="200">
        <f t="shared" si="20"/>
        <v>0.1082912309560177</v>
      </c>
      <c r="AA28" s="201">
        <f t="shared" si="20"/>
        <v>9.3917675165472128E-2</v>
      </c>
      <c r="AB28" s="202">
        <f t="shared" si="20"/>
        <v>3.9830807190694394E-2</v>
      </c>
      <c r="AC28" s="203">
        <f t="shared" si="20"/>
        <v>1</v>
      </c>
      <c r="AE28" s="12">
        <v>2008</v>
      </c>
      <c r="AF28" s="196">
        <f t="shared" si="14"/>
        <v>0.26263675267238445</v>
      </c>
      <c r="AG28" s="197">
        <f t="shared" si="18"/>
        <v>0.19832047127074792</v>
      </c>
      <c r="AH28" s="198">
        <f t="shared" si="18"/>
        <v>0.19484681910150584</v>
      </c>
      <c r="AI28" s="199">
        <f t="shared" si="18"/>
        <v>6.5891958674282436E-2</v>
      </c>
      <c r="AJ28" s="200">
        <f t="shared" si="18"/>
        <v>0.10503321456069044</v>
      </c>
      <c r="AK28" s="201">
        <f t="shared" si="18"/>
        <v>9.0314956400293647E-2</v>
      </c>
      <c r="AL28" s="202">
        <f t="shared" si="18"/>
        <v>3.615105015309137E-2</v>
      </c>
      <c r="AM28" s="203">
        <f t="shared" si="18"/>
        <v>0.95317731740944334</v>
      </c>
    </row>
    <row r="29" spans="1:39">
      <c r="A29" s="23">
        <v>2009</v>
      </c>
      <c r="B29" s="30"/>
      <c r="C29" s="30"/>
      <c r="D29" s="30"/>
      <c r="E29" s="30"/>
      <c r="F29" s="30"/>
      <c r="G29" s="30"/>
      <c r="H29" s="30"/>
      <c r="I29" s="31"/>
      <c r="K29" s="12">
        <v>2009</v>
      </c>
      <c r="L29" s="196">
        <f t="shared" ref="L29:S29" si="21">L9/$S9</f>
        <v>0.25336322869955158</v>
      </c>
      <c r="M29" s="197">
        <f t="shared" si="21"/>
        <v>0.23612668161434977</v>
      </c>
      <c r="N29" s="198">
        <f t="shared" si="21"/>
        <v>0.18721973094170405</v>
      </c>
      <c r="O29" s="199">
        <f t="shared" si="21"/>
        <v>7.5917881165919285E-2</v>
      </c>
      <c r="P29" s="200">
        <f t="shared" si="21"/>
        <v>0.10979540358744394</v>
      </c>
      <c r="Q29" s="201">
        <f t="shared" si="21"/>
        <v>9.68329596412556E-2</v>
      </c>
      <c r="R29" s="202">
        <f t="shared" si="21"/>
        <v>4.077914798206278E-2</v>
      </c>
      <c r="S29" s="203">
        <f t="shared" si="21"/>
        <v>1</v>
      </c>
      <c r="U29" s="12">
        <v>2009</v>
      </c>
      <c r="V29" s="196">
        <f t="shared" ref="V29:AC29" si="22">V9/$AC9</f>
        <v>0.28030535522479666</v>
      </c>
      <c r="W29" s="197">
        <f t="shared" si="22"/>
        <v>0.19575725026852847</v>
      </c>
      <c r="X29" s="198">
        <f t="shared" si="22"/>
        <v>0.21263618229246586</v>
      </c>
      <c r="Y29" s="199">
        <f t="shared" si="22"/>
        <v>6.287402178916679E-2</v>
      </c>
      <c r="Z29" s="200">
        <f t="shared" si="22"/>
        <v>0.10810188737148994</v>
      </c>
      <c r="AA29" s="201">
        <f t="shared" si="22"/>
        <v>9.663188583704159E-2</v>
      </c>
      <c r="AB29" s="202">
        <f t="shared" si="22"/>
        <v>4.3693417216510662E-2</v>
      </c>
      <c r="AC29" s="203">
        <f t="shared" si="22"/>
        <v>1</v>
      </c>
      <c r="AE29" s="12">
        <v>2009</v>
      </c>
      <c r="AF29" s="196">
        <f t="shared" si="14"/>
        <v>0.25184043235003722</v>
      </c>
      <c r="AG29" s="197">
        <f t="shared" si="18"/>
        <v>0.20514108537873932</v>
      </c>
      <c r="AH29" s="198">
        <f t="shared" si="18"/>
        <v>0.18858152465746306</v>
      </c>
      <c r="AI29" s="199">
        <f t="shared" si="18"/>
        <v>6.5926451992863455E-2</v>
      </c>
      <c r="AJ29" s="200">
        <f t="shared" si="18"/>
        <v>0.10309885503455682</v>
      </c>
      <c r="AK29" s="201">
        <f t="shared" si="18"/>
        <v>9.1510626872910575E-2</v>
      </c>
      <c r="AL29" s="202">
        <f t="shared" si="18"/>
        <v>3.9891912490689581E-2</v>
      </c>
      <c r="AM29" s="203">
        <f t="shared" si="18"/>
        <v>0.94597356706102442</v>
      </c>
    </row>
    <row r="30" spans="1:39">
      <c r="A30" s="23">
        <v>2010</v>
      </c>
      <c r="B30" s="19"/>
      <c r="C30" s="19"/>
      <c r="D30" s="19"/>
      <c r="E30" s="19"/>
      <c r="F30" s="19"/>
      <c r="G30" s="19"/>
      <c r="H30" s="19"/>
      <c r="I30" s="31"/>
      <c r="K30" s="12">
        <v>2010</v>
      </c>
      <c r="L30" s="196">
        <f>L10/$S10</f>
        <v>0.24963452836756003</v>
      </c>
      <c r="M30" s="197">
        <f t="shared" ref="M30:S30" si="23">M10/$S10</f>
        <v>0.24187260703097807</v>
      </c>
      <c r="N30" s="198">
        <f t="shared" si="23"/>
        <v>0.18374521406195615</v>
      </c>
      <c r="O30" s="199">
        <f t="shared" si="23"/>
        <v>7.5809258614688485E-2</v>
      </c>
      <c r="P30" s="200">
        <f t="shared" si="23"/>
        <v>0.10452488687782806</v>
      </c>
      <c r="Q30" s="201">
        <f t="shared" si="23"/>
        <v>9.7981204316045942E-2</v>
      </c>
      <c r="R30" s="202">
        <f t="shared" si="23"/>
        <v>4.6397493908806126E-2</v>
      </c>
      <c r="S30" s="203">
        <f t="shared" si="23"/>
        <v>1</v>
      </c>
      <c r="U30" s="12">
        <v>2010</v>
      </c>
      <c r="V30" s="196">
        <f t="shared" ref="V30:AC30" si="24">V10/$AC10</f>
        <v>0.28857107478949973</v>
      </c>
      <c r="W30" s="197">
        <f t="shared" si="24"/>
        <v>0.17768697374938089</v>
      </c>
      <c r="X30" s="198">
        <f t="shared" si="24"/>
        <v>0.22022040614165428</v>
      </c>
      <c r="Y30" s="199">
        <f t="shared" si="24"/>
        <v>5.8630510153541357E-2</v>
      </c>
      <c r="Z30" s="200">
        <f t="shared" si="24"/>
        <v>0.11255572065378901</v>
      </c>
      <c r="AA30" s="201">
        <f t="shared" si="24"/>
        <v>9.6458642892521054E-2</v>
      </c>
      <c r="AB30" s="202">
        <f t="shared" si="24"/>
        <v>4.5938583457157012E-2</v>
      </c>
      <c r="AC30" s="203">
        <f t="shared" si="24"/>
        <v>1</v>
      </c>
      <c r="AE30" s="12">
        <v>2010</v>
      </c>
      <c r="AF30" s="196">
        <f t="shared" si="14"/>
        <v>0.20263374203712584</v>
      </c>
      <c r="AG30" s="197">
        <f t="shared" si="18"/>
        <v>0.16814507843002946</v>
      </c>
      <c r="AH30" s="198">
        <f t="shared" si="18"/>
        <v>0.15131173368038905</v>
      </c>
      <c r="AI30" s="199">
        <f t="shared" si="18"/>
        <v>5.351393931091171E-2</v>
      </c>
      <c r="AJ30" s="200">
        <f t="shared" si="18"/>
        <v>8.2557024453729713E-2</v>
      </c>
      <c r="AK30" s="201">
        <f t="shared" si="18"/>
        <v>7.4885266114117402E-2</v>
      </c>
      <c r="AL30" s="202">
        <f t="shared" si="18"/>
        <v>3.5533255702445372E-2</v>
      </c>
      <c r="AM30" s="203">
        <f t="shared" si="18"/>
        <v>0.76858003972874855</v>
      </c>
    </row>
    <row r="31" spans="1:39">
      <c r="A31" s="23">
        <v>2011</v>
      </c>
      <c r="B31" s="17">
        <v>0.23</v>
      </c>
      <c r="C31" s="17">
        <v>0.19</v>
      </c>
      <c r="D31" s="17">
        <v>7.0000000000000007E-2</v>
      </c>
      <c r="E31" s="17">
        <v>0.1</v>
      </c>
      <c r="F31" s="17">
        <v>0.1</v>
      </c>
      <c r="G31" s="17">
        <v>0.25</v>
      </c>
      <c r="H31" s="17">
        <v>0.06</v>
      </c>
      <c r="I31" s="25">
        <f t="shared" ref="I31:I34" si="25">SUM(B31:H31)</f>
        <v>1</v>
      </c>
      <c r="K31" s="12">
        <v>2011</v>
      </c>
      <c r="L31" s="196">
        <f>L11/$S11</f>
        <v>0.24123017779913503</v>
      </c>
      <c r="M31" s="197">
        <f t="shared" ref="M31:S31" si="26">M11/$S11</f>
        <v>0.24716825701929018</v>
      </c>
      <c r="N31" s="198">
        <f t="shared" si="26"/>
        <v>0.18051074346124801</v>
      </c>
      <c r="O31" s="199">
        <f t="shared" si="26"/>
        <v>7.5650442781629718E-2</v>
      </c>
      <c r="P31" s="200">
        <f t="shared" si="26"/>
        <v>9.9231138875540609E-2</v>
      </c>
      <c r="Q31" s="201">
        <f t="shared" si="26"/>
        <v>0.10108464337200522</v>
      </c>
      <c r="R31" s="202">
        <f t="shared" si="26"/>
        <v>5.5124596691151231E-2</v>
      </c>
      <c r="S31" s="203">
        <f t="shared" si="26"/>
        <v>1</v>
      </c>
      <c r="U31" s="12">
        <v>2011</v>
      </c>
      <c r="V31" s="196">
        <f t="shared" ref="V31:AC31" si="27">V11/$AC11</f>
        <v>0.28858447488584477</v>
      </c>
      <c r="W31" s="197">
        <f t="shared" si="27"/>
        <v>0.17844748858447487</v>
      </c>
      <c r="X31" s="198">
        <f t="shared" si="27"/>
        <v>0.21704718417047184</v>
      </c>
      <c r="Y31" s="199">
        <f t="shared" si="27"/>
        <v>5.7351598173515983E-2</v>
      </c>
      <c r="Z31" s="200">
        <f t="shared" si="27"/>
        <v>0.10733637747336378</v>
      </c>
      <c r="AA31" s="201">
        <f t="shared" si="27"/>
        <v>9.9969558599695585E-2</v>
      </c>
      <c r="AB31" s="202">
        <f t="shared" si="27"/>
        <v>5.1202435312024355E-2</v>
      </c>
      <c r="AC31" s="203">
        <f t="shared" si="27"/>
        <v>1</v>
      </c>
      <c r="AE31" s="12">
        <v>2011</v>
      </c>
      <c r="AF31" s="196">
        <f t="shared" si="14"/>
        <v>0.20004759800088395</v>
      </c>
      <c r="AG31" s="197">
        <f t="shared" si="18"/>
        <v>0.17223676605582566</v>
      </c>
      <c r="AH31" s="198">
        <f t="shared" si="18"/>
        <v>0.15000169992860299</v>
      </c>
      <c r="AI31" s="199">
        <f t="shared" si="18"/>
        <v>5.3479753850338284E-2</v>
      </c>
      <c r="AJ31" s="200">
        <f t="shared" si="18"/>
        <v>7.9114677183558288E-2</v>
      </c>
      <c r="AK31" s="201">
        <f t="shared" si="18"/>
        <v>7.7975725019549177E-2</v>
      </c>
      <c r="AL31" s="202">
        <f t="shared" si="18"/>
        <v>4.1597252915377553E-2</v>
      </c>
      <c r="AM31" s="203">
        <f t="shared" si="18"/>
        <v>0.77447047224016596</v>
      </c>
    </row>
    <row r="32" spans="1:39">
      <c r="A32" s="23">
        <v>2012</v>
      </c>
      <c r="B32" s="17">
        <v>0.23</v>
      </c>
      <c r="C32" s="17">
        <v>0.19</v>
      </c>
      <c r="D32" s="17">
        <v>7.0000000000000007E-2</v>
      </c>
      <c r="E32" s="17">
        <v>0.09</v>
      </c>
      <c r="F32" s="17">
        <v>0.1</v>
      </c>
      <c r="G32" s="17">
        <v>0.26</v>
      </c>
      <c r="H32" s="17">
        <v>0.06</v>
      </c>
      <c r="I32" s="25">
        <f t="shared" si="25"/>
        <v>1</v>
      </c>
      <c r="K32" s="12">
        <v>2012</v>
      </c>
      <c r="L32" s="196">
        <f t="shared" ref="L32:S32" si="28">L12/$S12</f>
        <v>0.2314827445096167</v>
      </c>
      <c r="M32" s="197">
        <f t="shared" si="28"/>
        <v>0.25112535806847636</v>
      </c>
      <c r="N32" s="198">
        <f t="shared" si="28"/>
        <v>0.17436229709453008</v>
      </c>
      <c r="O32" s="199">
        <f>O12/$S12</f>
        <v>7.5296685308961941E-2</v>
      </c>
      <c r="P32" s="200">
        <f t="shared" si="28"/>
        <v>9.3541126722138865E-2</v>
      </c>
      <c r="Q32" s="201">
        <f t="shared" si="28"/>
        <v>0.10568135315782294</v>
      </c>
      <c r="R32" s="202">
        <f t="shared" si="28"/>
        <v>6.8476333378802351E-2</v>
      </c>
      <c r="S32" s="203">
        <f t="shared" si="28"/>
        <v>1</v>
      </c>
      <c r="U32" s="12">
        <v>2012</v>
      </c>
      <c r="V32" s="196">
        <f t="shared" ref="V32:AC32" si="29">V12/$AC12</f>
        <v>0.28483339262421442</v>
      </c>
      <c r="W32" s="197">
        <f t="shared" si="29"/>
        <v>0.17959207873829006</v>
      </c>
      <c r="X32" s="198">
        <f t="shared" si="29"/>
        <v>0.21042333689078618</v>
      </c>
      <c r="Y32" s="199">
        <f t="shared" si="29"/>
        <v>5.7512154630617811E-2</v>
      </c>
      <c r="Z32" s="200">
        <f t="shared" si="29"/>
        <v>0.10227676983279972</v>
      </c>
      <c r="AA32" s="201">
        <f t="shared" si="29"/>
        <v>0.10636784062611171</v>
      </c>
      <c r="AB32" s="202">
        <f t="shared" si="29"/>
        <v>5.8994426657180125E-2</v>
      </c>
      <c r="AC32" s="203">
        <f t="shared" si="29"/>
        <v>1</v>
      </c>
      <c r="AE32" s="12">
        <v>2012</v>
      </c>
      <c r="AF32" s="196">
        <f t="shared" si="14"/>
        <v>0.19341920843622773</v>
      </c>
      <c r="AG32" s="197">
        <f t="shared" si="18"/>
        <v>0.17341320162851231</v>
      </c>
      <c r="AH32" s="198">
        <f t="shared" si="18"/>
        <v>0.14453046786357873</v>
      </c>
      <c r="AI32" s="199">
        <f t="shared" si="18"/>
        <v>5.3026763665487552E-2</v>
      </c>
      <c r="AJ32" s="200">
        <f t="shared" si="18"/>
        <v>7.4551157979042909E-2</v>
      </c>
      <c r="AK32" s="201">
        <f t="shared" si="18"/>
        <v>8.1642528198625108E-2</v>
      </c>
      <c r="AL32" s="202">
        <f t="shared" si="18"/>
        <v>5.0106787692718417E-2</v>
      </c>
      <c r="AM32" s="203">
        <f t="shared" si="18"/>
        <v>0.77070680104118006</v>
      </c>
    </row>
    <row r="33" spans="1:39">
      <c r="A33" s="23">
        <v>2013</v>
      </c>
      <c r="B33" s="17">
        <v>0.21</v>
      </c>
      <c r="C33" s="17">
        <v>0.19</v>
      </c>
      <c r="D33" s="17">
        <v>7.0000000000000007E-2</v>
      </c>
      <c r="E33" s="17">
        <v>0.09</v>
      </c>
      <c r="F33" s="17">
        <v>0.11</v>
      </c>
      <c r="G33" s="17">
        <v>0.26</v>
      </c>
      <c r="H33" s="17">
        <v>7.0000000000000007E-2</v>
      </c>
      <c r="I33" s="25">
        <f t="shared" si="25"/>
        <v>1</v>
      </c>
      <c r="K33" s="12">
        <v>2013</v>
      </c>
      <c r="L33" s="196">
        <f>L13/$S13</f>
        <v>0.25627435150408928</v>
      </c>
      <c r="M33" s="197">
        <f>M13/$S13</f>
        <v>0.24269016111481626</v>
      </c>
      <c r="N33" s="198">
        <f>N13/$S13</f>
        <v>0.19130190599880656</v>
      </c>
      <c r="O33" s="199">
        <f>O13/$S13</f>
        <v>6.5779774649864856E-2</v>
      </c>
      <c r="P33" s="200">
        <f>P13/$S13</f>
        <v>8.4383446242409357E-2</v>
      </c>
      <c r="Q33" s="201">
        <f>Q13/$S13</f>
        <v>8.792867422513953E-2</v>
      </c>
      <c r="R33" s="202">
        <f>R13/$S13</f>
        <v>7.1676787532029912E-2</v>
      </c>
      <c r="S33" s="203">
        <f>S13/$S13</f>
        <v>1</v>
      </c>
      <c r="U33" s="12">
        <v>2013</v>
      </c>
      <c r="V33" s="196">
        <f>V13/$AC13</f>
        <v>0.30625150566128645</v>
      </c>
      <c r="W33" s="197">
        <f>W17/$AC17</f>
        <v>0.22910309340034704</v>
      </c>
      <c r="X33" s="198">
        <f t="shared" ref="X33:AC33" si="30">X13/$AC13</f>
        <v>0.22048903878583473</v>
      </c>
      <c r="Y33" s="199">
        <f t="shared" si="30"/>
        <v>4.9566369549506141E-2</v>
      </c>
      <c r="Z33" s="200">
        <f t="shared" si="30"/>
        <v>9.298964105034932E-2</v>
      </c>
      <c r="AA33" s="201">
        <f t="shared" si="30"/>
        <v>9.4736208142616241E-2</v>
      </c>
      <c r="AB33" s="202">
        <f t="shared" si="30"/>
        <v>6.2334377258491933E-2</v>
      </c>
      <c r="AC33" s="203">
        <f t="shared" si="30"/>
        <v>1</v>
      </c>
      <c r="AE33" s="12">
        <v>2013</v>
      </c>
      <c r="AF33" s="196">
        <f t="shared" ref="AF33:AM33" si="31">(L33*$S13+V33*$AC13)/$I13</f>
        <v>0.21211083330479158</v>
      </c>
      <c r="AG33" s="197">
        <f t="shared" si="31"/>
        <v>0.1835467301917896</v>
      </c>
      <c r="AH33" s="198">
        <f t="shared" si="31"/>
        <v>0.1560263040723362</v>
      </c>
      <c r="AI33" s="199">
        <f t="shared" si="31"/>
        <v>4.6186252012193035E-2</v>
      </c>
      <c r="AJ33" s="200">
        <f t="shared" si="31"/>
        <v>6.7609685926636298E-2</v>
      </c>
      <c r="AK33" s="201">
        <f t="shared" si="31"/>
        <v>6.9835942048840638E-2</v>
      </c>
      <c r="AL33" s="202">
        <f t="shared" si="31"/>
        <v>5.2693769907867248E-2</v>
      </c>
      <c r="AM33" s="203">
        <f t="shared" si="31"/>
        <v>0.77221974860430864</v>
      </c>
    </row>
    <row r="34" spans="1:39">
      <c r="A34" s="23">
        <v>2014</v>
      </c>
      <c r="B34" s="17">
        <v>0.25</v>
      </c>
      <c r="C34" s="17">
        <v>0.18</v>
      </c>
      <c r="D34" s="17">
        <v>0.06</v>
      </c>
      <c r="E34" s="17">
        <v>0.09</v>
      </c>
      <c r="F34" s="17">
        <v>0.1</v>
      </c>
      <c r="G34" s="17">
        <v>0.25</v>
      </c>
      <c r="H34" s="17">
        <v>7.0000000000000007E-2</v>
      </c>
      <c r="I34" s="25">
        <f t="shared" si="25"/>
        <v>1</v>
      </c>
      <c r="K34" s="12">
        <v>2014</v>
      </c>
      <c r="L34" s="196">
        <f>L14/$S14</f>
        <v>0.24548251931386669</v>
      </c>
      <c r="M34" s="197">
        <f t="shared" ref="M34:S41" si="32">M14/$S14</f>
        <v>0.27242372659421238</v>
      </c>
      <c r="N34" s="198">
        <f t="shared" si="32"/>
        <v>0.19821264894592117</v>
      </c>
      <c r="O34" s="199">
        <f t="shared" si="32"/>
        <v>5.7352363493518396E-2</v>
      </c>
      <c r="P34" s="200">
        <f t="shared" si="32"/>
        <v>7.5029461830561736E-2</v>
      </c>
      <c r="Q34" s="201">
        <f t="shared" si="32"/>
        <v>7.7157260704465103E-2</v>
      </c>
      <c r="R34" s="202">
        <f t="shared" si="32"/>
        <v>7.43420191174545E-2</v>
      </c>
      <c r="S34" s="203">
        <f t="shared" si="32"/>
        <v>1</v>
      </c>
      <c r="U34" s="12">
        <v>2014</v>
      </c>
      <c r="V34" s="196">
        <f t="shared" ref="V34:V41" si="33">V14/$AC14</f>
        <v>0.29261412699326461</v>
      </c>
      <c r="W34" s="197">
        <f>W13/$AC13</f>
        <v>0.17363285955191521</v>
      </c>
      <c r="X34" s="198">
        <f t="shared" ref="X34:AC41" si="34">X14/$AC14</f>
        <v>0.22255483276725577</v>
      </c>
      <c r="Y34" s="199">
        <f t="shared" si="34"/>
        <v>4.4614587530942378E-2</v>
      </c>
      <c r="Z34" s="200">
        <f t="shared" si="34"/>
        <v>8.6062978527430778E-2</v>
      </c>
      <c r="AA34" s="201">
        <f t="shared" si="34"/>
        <v>8.5717575269126711E-2</v>
      </c>
      <c r="AB34" s="202">
        <f t="shared" si="34"/>
        <v>6.7238500949858962E-2</v>
      </c>
      <c r="AC34" s="203">
        <f t="shared" si="34"/>
        <v>1</v>
      </c>
      <c r="AE34" s="12">
        <v>2014</v>
      </c>
      <c r="AF34" s="196">
        <f t="shared" ref="AF34:AF41" si="35">(L34*$S14+V34*$AC14)/$I14</f>
        <v>0.20323049588111775</v>
      </c>
      <c r="AG34" s="197">
        <f t="shared" ref="AG34:AG41" si="36">(M34*$S14+W34*$AC14)/$I14</f>
        <v>0.18313966085085315</v>
      </c>
      <c r="AH34" s="198">
        <f t="shared" ref="AH34:AH41" si="37">(N34*$S14+X34*$AC14)/$I14</f>
        <v>0.16024874818284607</v>
      </c>
      <c r="AI34" s="199">
        <f t="shared" ref="AI34:AI41" si="38">(O34*$S14+Y34*$AC14)/$I14</f>
        <v>4.081731545792279E-2</v>
      </c>
      <c r="AJ34" s="200">
        <f t="shared" ref="AJ34:AJ41" si="39">(P34*$S14+Z34*$AC14)/$I14</f>
        <v>6.1169439508964626E-2</v>
      </c>
      <c r="AK34" s="201">
        <f t="shared" ref="AK34:AK41" si="40">(Q34*$S14+AA34*$AC14)/$I14</f>
        <v>6.2122435793894364E-2</v>
      </c>
      <c r="AL34" s="202">
        <f t="shared" ref="AL34:AL41" si="41">(R34*$S14+AB34*$AC14)/$I14</f>
        <v>5.5548376675819737E-2</v>
      </c>
      <c r="AM34" s="203">
        <f t="shared" ref="AM34:AM41" si="42">(S34*$S14+AC34*$AC14)/$I14</f>
        <v>0.77401066063640767</v>
      </c>
    </row>
    <row r="35" spans="1:39">
      <c r="A35" s="23">
        <v>2015</v>
      </c>
      <c r="B35" s="17"/>
      <c r="C35" s="17"/>
      <c r="D35" s="17"/>
      <c r="E35" s="17"/>
      <c r="F35" s="17"/>
      <c r="G35" s="17"/>
      <c r="H35" s="17"/>
      <c r="I35" s="25"/>
      <c r="K35" s="12">
        <v>2015</v>
      </c>
      <c r="L35" s="196">
        <f>L15/$S15</f>
        <v>0.24770014705379434</v>
      </c>
      <c r="M35" s="197">
        <f t="shared" si="32"/>
        <v>0.27516158818097874</v>
      </c>
      <c r="N35" s="198">
        <f t="shared" si="32"/>
        <v>0.20984234465305565</v>
      </c>
      <c r="O35" s="199">
        <f t="shared" si="32"/>
        <v>5.1297835231353235E-2</v>
      </c>
      <c r="P35" s="200">
        <f t="shared" si="32"/>
        <v>6.7439554050819056E-2</v>
      </c>
      <c r="Q35" s="201">
        <f t="shared" si="32"/>
        <v>7.0004445812386712E-2</v>
      </c>
      <c r="R35" s="202">
        <f t="shared" si="32"/>
        <v>7.851988646079136E-2</v>
      </c>
      <c r="S35" s="203">
        <f t="shared" si="32"/>
        <v>1</v>
      </c>
      <c r="U35" s="12">
        <v>2015</v>
      </c>
      <c r="V35" s="196">
        <f t="shared" si="33"/>
        <v>0.28945197407189155</v>
      </c>
      <c r="W35" s="197">
        <f t="shared" ref="W35:W41" si="43">W14/$AC14</f>
        <v>0.20125496517183811</v>
      </c>
      <c r="X35" s="198">
        <f t="shared" si="34"/>
        <v>0.22781378903948143</v>
      </c>
      <c r="Y35" s="199">
        <f t="shared" si="34"/>
        <v>4.0718915733647616E-2</v>
      </c>
      <c r="Z35" s="200">
        <f t="shared" si="34"/>
        <v>7.9493223335297583E-2</v>
      </c>
      <c r="AA35" s="201">
        <f t="shared" si="34"/>
        <v>7.8845020624631709E-2</v>
      </c>
      <c r="AB35" s="202">
        <f t="shared" si="34"/>
        <v>7.2775486152032998E-2</v>
      </c>
      <c r="AC35" s="203">
        <f t="shared" si="34"/>
        <v>1</v>
      </c>
      <c r="AE35" s="12">
        <v>2015</v>
      </c>
      <c r="AF35" s="196">
        <f t="shared" si="35"/>
        <v>0.20186335403726707</v>
      </c>
      <c r="AG35" s="197">
        <f t="shared" si="36"/>
        <v>0.19034272360192134</v>
      </c>
      <c r="AH35" s="198">
        <f t="shared" si="37"/>
        <v>0.16610754973926328</v>
      </c>
      <c r="AI35" s="199">
        <f t="shared" si="38"/>
        <v>3.6386886770518483E-2</v>
      </c>
      <c r="AJ35" s="200">
        <f t="shared" si="39"/>
        <v>5.5153286611087121E-2</v>
      </c>
      <c r="AK35" s="201">
        <f t="shared" si="40"/>
        <v>5.6216162354269773E-2</v>
      </c>
      <c r="AL35" s="202">
        <f t="shared" si="41"/>
        <v>5.8640847643405186E-2</v>
      </c>
      <c r="AM35" s="203">
        <f t="shared" si="42"/>
        <v>0.76744610887833398</v>
      </c>
    </row>
    <row r="36" spans="1:39">
      <c r="A36" s="23">
        <v>2016</v>
      </c>
      <c r="B36" s="17"/>
      <c r="C36" s="17"/>
      <c r="D36" s="17"/>
      <c r="E36" s="17"/>
      <c r="F36" s="17"/>
      <c r="G36" s="17"/>
      <c r="H36" s="17"/>
      <c r="I36" s="25"/>
      <c r="K36" s="12">
        <v>2016</v>
      </c>
      <c r="L36" s="196">
        <f t="shared" ref="L36:L41" si="44">L16/$S16</f>
        <v>0.25274689232182096</v>
      </c>
      <c r="M36" s="197">
        <f t="shared" si="32"/>
        <v>0.27298369903899766</v>
      </c>
      <c r="N36" s="198">
        <f t="shared" si="32"/>
        <v>0.22739348617534191</v>
      </c>
      <c r="O36" s="199">
        <f t="shared" si="32"/>
        <v>4.5229427006461348E-2</v>
      </c>
      <c r="P36" s="200">
        <f t="shared" si="32"/>
        <v>5.8676899865525274E-2</v>
      </c>
      <c r="Q36" s="201">
        <f t="shared" si="32"/>
        <v>6.2087966151726855E-2</v>
      </c>
      <c r="R36" s="202">
        <f t="shared" si="32"/>
        <v>8.0848830725835541E-2</v>
      </c>
      <c r="S36" s="203">
        <f t="shared" si="32"/>
        <v>1</v>
      </c>
      <c r="U36" s="12">
        <v>2016</v>
      </c>
      <c r="V36" s="196">
        <f t="shared" si="33"/>
        <v>0.28749272833042466</v>
      </c>
      <c r="W36" s="197">
        <f t="shared" si="43"/>
        <v>0.21096051856216852</v>
      </c>
      <c r="X36" s="198">
        <f t="shared" si="34"/>
        <v>0.2372891215823153</v>
      </c>
      <c r="Y36" s="199">
        <f t="shared" si="34"/>
        <v>3.6823734729493893E-2</v>
      </c>
      <c r="Z36" s="200">
        <f t="shared" si="34"/>
        <v>7.1320535194880741E-2</v>
      </c>
      <c r="AA36" s="201">
        <f t="shared" si="34"/>
        <v>7.1611401977894118E-2</v>
      </c>
      <c r="AB36" s="202">
        <f t="shared" si="34"/>
        <v>7.6788830715532289E-2</v>
      </c>
      <c r="AC36" s="203">
        <f t="shared" si="34"/>
        <v>1</v>
      </c>
      <c r="AE36" s="12">
        <v>2016</v>
      </c>
      <c r="AF36" s="196">
        <f t="shared" si="35"/>
        <v>0.20586272563029998</v>
      </c>
      <c r="AG36" s="197">
        <f t="shared" si="36"/>
        <v>0.19449228200464974</v>
      </c>
      <c r="AH36" s="198">
        <f t="shared" si="37"/>
        <v>0.1792346880645844</v>
      </c>
      <c r="AI36" s="199">
        <f t="shared" si="38"/>
        <v>3.2747928839987631E-2</v>
      </c>
      <c r="AJ36" s="200">
        <f t="shared" si="39"/>
        <v>4.9073064340239912E-2</v>
      </c>
      <c r="AK36" s="201">
        <f t="shared" si="40"/>
        <v>5.0847181757515583E-2</v>
      </c>
      <c r="AL36" s="202">
        <f t="shared" si="41"/>
        <v>6.160582040723319E-2</v>
      </c>
      <c r="AM36" s="203">
        <f t="shared" si="42"/>
        <v>0.77603802145217204</v>
      </c>
    </row>
    <row r="37" spans="1:39">
      <c r="A37" s="23">
        <v>2017</v>
      </c>
      <c r="B37" s="17"/>
      <c r="C37" s="17"/>
      <c r="D37" s="17"/>
      <c r="E37" s="17"/>
      <c r="F37" s="17"/>
      <c r="G37" s="17"/>
      <c r="H37" s="17"/>
      <c r="I37" s="25"/>
      <c r="K37" s="12">
        <v>2017</v>
      </c>
      <c r="L37" s="196">
        <f t="shared" si="44"/>
        <v>0.26092421686348449</v>
      </c>
      <c r="M37" s="197">
        <f t="shared" si="32"/>
        <v>0.27134398465151666</v>
      </c>
      <c r="N37" s="198">
        <f t="shared" si="32"/>
        <v>0.23955542324104395</v>
      </c>
      <c r="O37" s="199">
        <f t="shared" si="32"/>
        <v>4.0355926036188018E-2</v>
      </c>
      <c r="P37" s="200">
        <f t="shared" si="32"/>
        <v>5.0378750289437994E-2</v>
      </c>
      <c r="Q37" s="201">
        <f t="shared" si="32"/>
        <v>5.4645893288346396E-2</v>
      </c>
      <c r="R37" s="202">
        <f t="shared" si="32"/>
        <v>3.4269458502861304E-2</v>
      </c>
      <c r="S37" s="203">
        <f t="shared" si="32"/>
        <v>1</v>
      </c>
      <c r="U37" s="12">
        <v>2017</v>
      </c>
      <c r="V37" s="196">
        <f t="shared" si="33"/>
        <v>0.28636390833482916</v>
      </c>
      <c r="W37" s="197">
        <f t="shared" si="43"/>
        <v>0.21861547411285631</v>
      </c>
      <c r="X37" s="198">
        <f t="shared" si="34"/>
        <v>0.24220666546999342</v>
      </c>
      <c r="Y37" s="199">
        <f t="shared" si="34"/>
        <v>3.4165021240950159E-2</v>
      </c>
      <c r="Z37" s="200">
        <f t="shared" si="34"/>
        <v>6.3124513851492856E-2</v>
      </c>
      <c r="AA37" s="201">
        <f t="shared" si="34"/>
        <v>6.4740022736791719E-2</v>
      </c>
      <c r="AB37" s="202">
        <f t="shared" si="34"/>
        <v>3.2908514330162147E-2</v>
      </c>
      <c r="AC37" s="203">
        <f t="shared" si="34"/>
        <v>1</v>
      </c>
      <c r="AE37" s="12">
        <v>2017</v>
      </c>
      <c r="AF37" s="196">
        <f>(L37*$S17+V37*$AC17)/$I17</f>
        <v>0.21126150153353782</v>
      </c>
      <c r="AG37" s="197">
        <f t="shared" si="36"/>
        <v>0.19763835876197103</v>
      </c>
      <c r="AH37" s="198">
        <f t="shared" si="37"/>
        <v>0.18819175890118683</v>
      </c>
      <c r="AI37" s="199">
        <f t="shared" si="38"/>
        <v>2.9853980530737432E-2</v>
      </c>
      <c r="AJ37" s="200">
        <f t="shared" si="39"/>
        <v>4.2972396319509269E-2</v>
      </c>
      <c r="AK37" s="201">
        <f t="shared" si="40"/>
        <v>4.5572743032404321E-2</v>
      </c>
      <c r="AL37" s="202">
        <f t="shared" si="41"/>
        <v>2.643685824776637E-2</v>
      </c>
      <c r="AM37" s="203">
        <f t="shared" si="42"/>
        <v>0.78250433391118812</v>
      </c>
    </row>
    <row r="38" spans="1:39">
      <c r="A38" s="23">
        <v>2018</v>
      </c>
      <c r="B38" s="17"/>
      <c r="C38" s="17"/>
      <c r="D38" s="17"/>
      <c r="E38" s="17"/>
      <c r="F38" s="17"/>
      <c r="G38" s="17"/>
      <c r="H38" s="17"/>
      <c r="I38" s="25"/>
      <c r="K38" s="12">
        <v>2018</v>
      </c>
      <c r="L38" s="196">
        <f t="shared" si="44"/>
        <v>0.2716841374293178</v>
      </c>
      <c r="M38" s="197">
        <f t="shared" si="32"/>
        <v>0.264839125690288</v>
      </c>
      <c r="N38" s="198">
        <f t="shared" si="32"/>
        <v>0.23858338017922687</v>
      </c>
      <c r="O38" s="199">
        <f t="shared" si="32"/>
        <v>3.9780430541318079E-2</v>
      </c>
      <c r="P38" s="200">
        <f t="shared" si="32"/>
        <v>4.9667669719916673E-2</v>
      </c>
      <c r="Q38" s="201">
        <f t="shared" si="32"/>
        <v>5.386726629410403E-2</v>
      </c>
      <c r="R38" s="202">
        <f t="shared" si="32"/>
        <v>3.3795178730862074E-2</v>
      </c>
      <c r="S38" s="203">
        <f t="shared" si="32"/>
        <v>1</v>
      </c>
      <c r="U38" s="12">
        <v>2018</v>
      </c>
      <c r="V38" s="196">
        <f t="shared" si="33"/>
        <v>0.29305760709010342</v>
      </c>
      <c r="W38" s="197">
        <f t="shared" si="43"/>
        <v>0.22910309340034704</v>
      </c>
      <c r="X38" s="198">
        <f t="shared" si="34"/>
        <v>0.24454948301329393</v>
      </c>
      <c r="Y38" s="199">
        <f t="shared" si="34"/>
        <v>3.3677991137370751E-2</v>
      </c>
      <c r="Z38" s="200">
        <f t="shared" si="34"/>
        <v>6.2274741506646969E-2</v>
      </c>
      <c r="AA38" s="201">
        <f t="shared" si="34"/>
        <v>6.3810930576070901E-2</v>
      </c>
      <c r="AB38" s="202">
        <f t="shared" si="34"/>
        <v>3.2437223042836041E-2</v>
      </c>
      <c r="AC38" s="203">
        <f t="shared" si="34"/>
        <v>1</v>
      </c>
      <c r="AE38" s="12">
        <v>2018</v>
      </c>
      <c r="AF38" s="196">
        <f t="shared" si="35"/>
        <v>0.21673547941374829</v>
      </c>
      <c r="AG38" s="197">
        <f t="shared" si="36"/>
        <v>0.19552530481800329</v>
      </c>
      <c r="AH38" s="198">
        <f t="shared" si="37"/>
        <v>0.18676492359317684</v>
      </c>
      <c r="AI38" s="199">
        <f t="shared" si="38"/>
        <v>2.9164541970292633E-2</v>
      </c>
      <c r="AJ38" s="200">
        <f t="shared" si="39"/>
        <v>4.2044314312503085E-2</v>
      </c>
      <c r="AK38" s="201">
        <f t="shared" si="40"/>
        <v>4.4561051436843059E-2</v>
      </c>
      <c r="AL38" s="202">
        <f t="shared" si="41"/>
        <v>2.5841790995673845E-2</v>
      </c>
      <c r="AM38" s="203">
        <f t="shared" si="42"/>
        <v>0.77584590331123648</v>
      </c>
    </row>
    <row r="39" spans="1:39">
      <c r="A39" s="23">
        <v>2019</v>
      </c>
      <c r="B39" s="17"/>
      <c r="C39" s="17"/>
      <c r="D39" s="17"/>
      <c r="E39" s="17"/>
      <c r="F39" s="17"/>
      <c r="G39" s="17"/>
      <c r="H39" s="17"/>
      <c r="I39" s="25"/>
      <c r="K39" s="12">
        <v>2019</v>
      </c>
      <c r="L39" s="196">
        <f t="shared" si="44"/>
        <v>0.26066744147434834</v>
      </c>
      <c r="M39" s="197">
        <f t="shared" si="32"/>
        <v>0.2724887929603188</v>
      </c>
      <c r="N39" s="198">
        <f t="shared" si="32"/>
        <v>0.23360451602191598</v>
      </c>
      <c r="O39" s="199">
        <f t="shared" si="32"/>
        <v>4.1142287896397144E-2</v>
      </c>
      <c r="P39" s="200">
        <f t="shared" si="32"/>
        <v>5.2033870164369916E-2</v>
      </c>
      <c r="Q39" s="201">
        <f t="shared" si="32"/>
        <v>5.57197409928607E-2</v>
      </c>
      <c r="R39" s="202">
        <f t="shared" si="32"/>
        <v>3.4932757761912667E-2</v>
      </c>
      <c r="S39" s="203">
        <f t="shared" si="32"/>
        <v>1</v>
      </c>
      <c r="U39" s="12">
        <v>2019</v>
      </c>
      <c r="V39" s="196">
        <f t="shared" si="33"/>
        <v>0.285492999702115</v>
      </c>
      <c r="W39" s="197">
        <f t="shared" si="43"/>
        <v>0.22351550960118169</v>
      </c>
      <c r="X39" s="198">
        <f t="shared" si="34"/>
        <v>0.23711647304140601</v>
      </c>
      <c r="Y39" s="199">
        <f t="shared" si="34"/>
        <v>3.4971700923443552E-2</v>
      </c>
      <c r="Z39" s="200">
        <f t="shared" si="34"/>
        <v>6.5415549597855227E-2</v>
      </c>
      <c r="AA39" s="201">
        <f t="shared" si="34"/>
        <v>6.6190050640452788E-2</v>
      </c>
      <c r="AB39" s="202">
        <f t="shared" si="34"/>
        <v>3.3661006851355375E-2</v>
      </c>
      <c r="AC39" s="203">
        <f t="shared" si="34"/>
        <v>1</v>
      </c>
      <c r="AE39" s="12">
        <v>2019</v>
      </c>
      <c r="AF39" s="196">
        <f t="shared" si="35"/>
        <v>0.20716099959033182</v>
      </c>
      <c r="AG39" s="197">
        <f t="shared" si="36"/>
        <v>0.19594769076043975</v>
      </c>
      <c r="AH39" s="198">
        <f t="shared" si="37"/>
        <v>0.18049979516591561</v>
      </c>
      <c r="AI39" s="199">
        <f t="shared" si="38"/>
        <v>2.9922163047931175E-2</v>
      </c>
      <c r="AJ39" s="200">
        <f t="shared" si="39"/>
        <v>4.3670626792298238E-2</v>
      </c>
      <c r="AK39" s="201">
        <f t="shared" si="40"/>
        <v>4.5702580909463338E-2</v>
      </c>
      <c r="AL39" s="202">
        <f t="shared" si="41"/>
        <v>2.649733715690291E-2</v>
      </c>
      <c r="AM39" s="203">
        <f t="shared" si="42"/>
        <v>0.76853748463744365</v>
      </c>
    </row>
    <row r="40" spans="1:39">
      <c r="A40" s="23">
        <v>2020</v>
      </c>
      <c r="B40" s="17"/>
      <c r="C40" s="17"/>
      <c r="D40" s="17"/>
      <c r="E40" s="17"/>
      <c r="F40" s="17"/>
      <c r="G40" s="17"/>
      <c r="H40" s="17"/>
      <c r="I40" s="25"/>
      <c r="K40" s="12">
        <v>2020</v>
      </c>
      <c r="L40" s="196">
        <f t="shared" si="44"/>
        <v>0.25617847577307035</v>
      </c>
      <c r="M40" s="197">
        <f t="shared" si="32"/>
        <v>0.28174458242025807</v>
      </c>
      <c r="N40" s="198">
        <f t="shared" si="32"/>
        <v>0.23469077185293402</v>
      </c>
      <c r="O40" s="199">
        <f t="shared" si="32"/>
        <v>4.0175310445580717E-2</v>
      </c>
      <c r="P40" s="200">
        <f t="shared" si="32"/>
        <v>5.073654735816898E-2</v>
      </c>
      <c r="Q40" s="201">
        <f t="shared" si="32"/>
        <v>5.4419284149013876E-2</v>
      </c>
      <c r="R40" s="202">
        <f t="shared" si="32"/>
        <v>3.4149013878743611E-2</v>
      </c>
      <c r="S40" s="203">
        <f t="shared" si="32"/>
        <v>1</v>
      </c>
      <c r="U40" s="12">
        <v>2020</v>
      </c>
      <c r="V40" s="196">
        <f t="shared" si="33"/>
        <v>0.28318339864230918</v>
      </c>
      <c r="W40" s="197">
        <f t="shared" si="43"/>
        <v>0.22871611557938637</v>
      </c>
      <c r="X40" s="198">
        <f t="shared" si="34"/>
        <v>0.23831337270268779</v>
      </c>
      <c r="Y40" s="199">
        <f t="shared" si="34"/>
        <v>3.4052651912357193E-2</v>
      </c>
      <c r="Z40" s="200">
        <f t="shared" si="34"/>
        <v>6.3634858435896016E-2</v>
      </c>
      <c r="AA40" s="201">
        <f t="shared" si="34"/>
        <v>6.4517909376897178E-2</v>
      </c>
      <c r="AB40" s="202">
        <f t="shared" si="34"/>
        <v>3.2838456868480602E-2</v>
      </c>
      <c r="AC40" s="203">
        <f t="shared" si="34"/>
        <v>1</v>
      </c>
      <c r="AE40" s="12">
        <v>2020</v>
      </c>
      <c r="AF40" s="196">
        <f t="shared" si="35"/>
        <v>0.20398699108648519</v>
      </c>
      <c r="AG40" s="197">
        <f t="shared" si="36"/>
        <v>0.20177528454262381</v>
      </c>
      <c r="AH40" s="198">
        <f t="shared" si="37"/>
        <v>0.18111599614550711</v>
      </c>
      <c r="AI40" s="199">
        <f t="shared" si="38"/>
        <v>2.9164659118284749E-2</v>
      </c>
      <c r="AJ40" s="200">
        <f t="shared" si="39"/>
        <v>4.2459648277523486E-2</v>
      </c>
      <c r="AK40" s="201">
        <f t="shared" si="40"/>
        <v>4.4522404239942186E-2</v>
      </c>
      <c r="AL40" s="202">
        <f t="shared" si="41"/>
        <v>2.5852204288123345E-2</v>
      </c>
      <c r="AM40" s="203">
        <f t="shared" si="42"/>
        <v>0.7675108407612623</v>
      </c>
    </row>
    <row r="41" spans="1:39">
      <c r="A41" s="23">
        <v>2021</v>
      </c>
      <c r="B41" s="17"/>
      <c r="C41" s="17"/>
      <c r="D41" s="17"/>
      <c r="E41" s="17"/>
      <c r="F41" s="17"/>
      <c r="G41" s="17"/>
      <c r="H41" s="17"/>
      <c r="I41" s="25"/>
      <c r="K41" s="12">
        <v>2021</v>
      </c>
      <c r="L41" s="196">
        <f t="shared" si="44"/>
        <v>0.25431194937337137</v>
      </c>
      <c r="M41" s="197">
        <f t="shared" si="32"/>
        <v>0.288776523141829</v>
      </c>
      <c r="N41" s="198">
        <f t="shared" si="32"/>
        <v>0.22797493485544112</v>
      </c>
      <c r="O41" s="199">
        <f t="shared" si="32"/>
        <v>4.0358605286015634E-2</v>
      </c>
      <c r="P41" s="200">
        <f t="shared" si="32"/>
        <v>5.1216031765727761E-2</v>
      </c>
      <c r="Q41" s="201">
        <f t="shared" si="32"/>
        <v>5.4659387020722171E-2</v>
      </c>
      <c r="R41" s="202">
        <f t="shared" si="32"/>
        <v>3.4278446457376849E-2</v>
      </c>
      <c r="S41" s="203">
        <f t="shared" si="32"/>
        <v>1</v>
      </c>
      <c r="U41" s="12">
        <v>2021</v>
      </c>
      <c r="V41" s="196">
        <f t="shared" si="33"/>
        <v>0.27986665209312495</v>
      </c>
      <c r="W41" s="197">
        <f t="shared" si="43"/>
        <v>0.23621612671781003</v>
      </c>
      <c r="X41" s="198">
        <f t="shared" si="34"/>
        <v>0.23221117061973987</v>
      </c>
      <c r="Y41" s="199">
        <f t="shared" si="34"/>
        <v>3.442999234889059E-2</v>
      </c>
      <c r="Z41" s="200">
        <f t="shared" si="34"/>
        <v>6.4651874521805666E-2</v>
      </c>
      <c r="AA41" s="201">
        <f t="shared" si="34"/>
        <v>6.5198382336867422E-2</v>
      </c>
      <c r="AB41" s="202">
        <f t="shared" si="34"/>
        <v>3.3173024374248551E-2</v>
      </c>
      <c r="AC41" s="203">
        <f t="shared" si="34"/>
        <v>1</v>
      </c>
      <c r="AE41" s="12">
        <v>2021</v>
      </c>
      <c r="AF41" s="196">
        <f t="shared" si="35"/>
        <v>0.1996223078191274</v>
      </c>
      <c r="AG41" s="197">
        <f t="shared" si="36"/>
        <v>0.20430273357237583</v>
      </c>
      <c r="AH41" s="198">
        <f t="shared" si="37"/>
        <v>0.17382832991112243</v>
      </c>
      <c r="AI41" s="199">
        <f t="shared" si="38"/>
        <v>2.8941412748609882E-2</v>
      </c>
      <c r="AJ41" s="200">
        <f t="shared" si="39"/>
        <v>4.2475382563210984E-2</v>
      </c>
      <c r="AK41" s="201">
        <f t="shared" si="40"/>
        <v>4.4288904542797623E-2</v>
      </c>
      <c r="AL41" s="202">
        <f t="shared" si="41"/>
        <v>2.5659087843407622E-2</v>
      </c>
      <c r="AM41" s="203">
        <f t="shared" si="42"/>
        <v>0.75739272492918275</v>
      </c>
    </row>
    <row r="43" spans="1:39" s="98" customFormat="1">
      <c r="A43" s="195" t="s">
        <v>527</v>
      </c>
    </row>
    <row r="44" spans="1:39">
      <c r="A44" s="54" t="s">
        <v>565</v>
      </c>
      <c r="I44" s="24"/>
      <c r="K44" s="54" t="s">
        <v>566</v>
      </c>
      <c r="U44" s="54" t="s">
        <v>567</v>
      </c>
      <c r="AE44" s="54" t="s">
        <v>568</v>
      </c>
    </row>
    <row r="45" spans="1:39" ht="20.149999999999999" customHeight="1">
      <c r="A45" t="s">
        <v>569</v>
      </c>
      <c r="I45" t="s">
        <v>570</v>
      </c>
      <c r="K45" s="2" t="s">
        <v>496</v>
      </c>
      <c r="L45" s="170" t="s">
        <v>571</v>
      </c>
      <c r="M45" s="171" t="s">
        <v>572</v>
      </c>
      <c r="N45" s="172" t="s">
        <v>573</v>
      </c>
      <c r="O45" s="173" t="s">
        <v>574</v>
      </c>
      <c r="P45" s="174" t="s">
        <v>575</v>
      </c>
      <c r="Q45" s="175" t="s">
        <v>576</v>
      </c>
      <c r="R45" s="176" t="s">
        <v>577</v>
      </c>
      <c r="S45" s="177" t="s">
        <v>500</v>
      </c>
      <c r="U45" s="2" t="s">
        <v>496</v>
      </c>
      <c r="V45" s="170" t="s">
        <v>571</v>
      </c>
      <c r="W45" s="171" t="s">
        <v>572</v>
      </c>
      <c r="X45" s="172" t="s">
        <v>573</v>
      </c>
      <c r="Y45" s="173" t="s">
        <v>574</v>
      </c>
      <c r="Z45" s="174" t="s">
        <v>575</v>
      </c>
      <c r="AA45" s="175" t="s">
        <v>576</v>
      </c>
      <c r="AB45" s="176" t="s">
        <v>577</v>
      </c>
      <c r="AC45" s="177" t="s">
        <v>500</v>
      </c>
      <c r="AE45" s="2" t="s">
        <v>496</v>
      </c>
      <c r="AF45" s="170" t="s">
        <v>571</v>
      </c>
      <c r="AG45" s="171" t="s">
        <v>572</v>
      </c>
      <c r="AH45" s="172" t="s">
        <v>573</v>
      </c>
      <c r="AI45" s="173" t="s">
        <v>574</v>
      </c>
      <c r="AJ45" s="174" t="s">
        <v>575</v>
      </c>
      <c r="AK45" s="175" t="s">
        <v>576</v>
      </c>
      <c r="AL45" s="176" t="s">
        <v>577</v>
      </c>
      <c r="AM45" s="177" t="s">
        <v>500</v>
      </c>
    </row>
    <row r="46" spans="1:39">
      <c r="I46">
        <v>35428</v>
      </c>
      <c r="K46" s="12">
        <v>2006</v>
      </c>
      <c r="L46" s="178">
        <v>1592</v>
      </c>
      <c r="M46" s="179">
        <v>6122</v>
      </c>
      <c r="N46" s="180">
        <v>2123</v>
      </c>
      <c r="O46" s="194">
        <v>2148</v>
      </c>
      <c r="P46" s="182">
        <v>2830</v>
      </c>
      <c r="Q46" s="183">
        <v>2311</v>
      </c>
      <c r="R46" s="184">
        <v>890</v>
      </c>
      <c r="S46" s="185">
        <v>18016</v>
      </c>
      <c r="U46" s="12">
        <v>2006</v>
      </c>
      <c r="V46" s="178">
        <f>B140+L140</f>
        <v>1400</v>
      </c>
      <c r="W46" s="179">
        <f t="shared" ref="W46:AC46" si="45">C140+M140</f>
        <v>5006</v>
      </c>
      <c r="X46" s="180">
        <f t="shared" si="45"/>
        <v>1241</v>
      </c>
      <c r="Y46" s="194">
        <f t="shared" si="45"/>
        <v>1760</v>
      </c>
      <c r="Z46" s="182">
        <f t="shared" si="45"/>
        <v>2656</v>
      </c>
      <c r="AA46" s="183">
        <f t="shared" si="45"/>
        <v>2211</v>
      </c>
      <c r="AB46" s="184">
        <f t="shared" si="45"/>
        <v>903</v>
      </c>
      <c r="AC46" s="185">
        <f t="shared" si="45"/>
        <v>15175</v>
      </c>
      <c r="AE46" s="12">
        <v>2006</v>
      </c>
      <c r="AF46" s="178">
        <f t="shared" ref="AF46:AF61" si="46">L46+V46</f>
        <v>2992</v>
      </c>
      <c r="AG46" s="179">
        <f t="shared" ref="AG46:AG61" si="47">M46+W46</f>
        <v>11128</v>
      </c>
      <c r="AH46" s="180">
        <f t="shared" ref="AH46:AH61" si="48">N46+X46</f>
        <v>3364</v>
      </c>
      <c r="AI46" s="194">
        <f t="shared" ref="AI46:AI61" si="49">O46+Y46</f>
        <v>3908</v>
      </c>
      <c r="AJ46" s="182">
        <f t="shared" ref="AJ46:AJ61" si="50">P46+Z46</f>
        <v>5486</v>
      </c>
      <c r="AK46" s="183">
        <f t="shared" ref="AK46:AK61" si="51">Q46+AA46</f>
        <v>4522</v>
      </c>
      <c r="AL46" s="184">
        <f t="shared" ref="AL46:AL61" si="52">R46+AB46</f>
        <v>1793</v>
      </c>
      <c r="AM46" s="185">
        <f t="shared" ref="AM46:AM61" si="53">S46+AC46</f>
        <v>33191</v>
      </c>
    </row>
    <row r="47" spans="1:39">
      <c r="I47">
        <v>36422</v>
      </c>
      <c r="K47" s="12">
        <v>2007</v>
      </c>
      <c r="L47" s="178">
        <v>1698</v>
      </c>
      <c r="M47" s="179">
        <v>6176</v>
      </c>
      <c r="N47" s="180">
        <v>2271</v>
      </c>
      <c r="O47" s="194">
        <v>2100</v>
      </c>
      <c r="P47" s="182">
        <v>2962</v>
      </c>
      <c r="Q47" s="183">
        <v>2469</v>
      </c>
      <c r="R47" s="184">
        <v>939</v>
      </c>
      <c r="S47" s="185">
        <v>18615</v>
      </c>
      <c r="U47" s="12">
        <v>2007</v>
      </c>
      <c r="V47" s="178">
        <f t="shared" ref="V47:V49" si="54">B141+L141</f>
        <v>1509</v>
      </c>
      <c r="W47" s="179">
        <f t="shared" ref="W47:W49" si="55">C141+M141</f>
        <v>4963</v>
      </c>
      <c r="X47" s="180">
        <f t="shared" ref="X47:X49" si="56">D141+N141</f>
        <v>1399</v>
      </c>
      <c r="Y47" s="194">
        <f t="shared" ref="Y47:Y49" si="57">E141+O141</f>
        <v>1709</v>
      </c>
      <c r="Z47" s="182">
        <f t="shared" ref="Z47:Z49" si="58">F141+P141</f>
        <v>2741</v>
      </c>
      <c r="AA47" s="183">
        <f t="shared" ref="AA47:AA49" si="59">G141+Q141</f>
        <v>2323</v>
      </c>
      <c r="AB47" s="184">
        <f t="shared" ref="AB47:AB49" si="60">H141+R141</f>
        <v>943</v>
      </c>
      <c r="AC47" s="185">
        <f t="shared" ref="AC47:AC49" si="61">I141+S141</f>
        <v>15587</v>
      </c>
      <c r="AE47" s="12">
        <v>2007</v>
      </c>
      <c r="AF47" s="178">
        <f t="shared" si="46"/>
        <v>3207</v>
      </c>
      <c r="AG47" s="179">
        <f t="shared" si="47"/>
        <v>11139</v>
      </c>
      <c r="AH47" s="180">
        <f t="shared" si="48"/>
        <v>3670</v>
      </c>
      <c r="AI47" s="194">
        <f t="shared" si="49"/>
        <v>3809</v>
      </c>
      <c r="AJ47" s="182">
        <f t="shared" si="50"/>
        <v>5703</v>
      </c>
      <c r="AK47" s="183">
        <f t="shared" si="51"/>
        <v>4792</v>
      </c>
      <c r="AL47" s="184">
        <f t="shared" si="52"/>
        <v>1882</v>
      </c>
      <c r="AM47" s="185">
        <f t="shared" si="53"/>
        <v>34202</v>
      </c>
    </row>
    <row r="48" spans="1:39">
      <c r="I48">
        <v>37100</v>
      </c>
      <c r="K48" s="12">
        <v>2008</v>
      </c>
      <c r="L48" s="178">
        <v>1812</v>
      </c>
      <c r="M48" s="179">
        <v>6240</v>
      </c>
      <c r="N48" s="180">
        <v>2431</v>
      </c>
      <c r="O48" s="194">
        <v>2055</v>
      </c>
      <c r="P48" s="182">
        <v>3101</v>
      </c>
      <c r="Q48" s="183">
        <v>2646</v>
      </c>
      <c r="R48" s="184">
        <v>992</v>
      </c>
      <c r="S48" s="185">
        <v>19277</v>
      </c>
      <c r="U48" s="12">
        <v>2008</v>
      </c>
      <c r="V48" s="178">
        <f t="shared" si="54"/>
        <v>1606</v>
      </c>
      <c r="W48" s="179">
        <f t="shared" si="55"/>
        <v>4836</v>
      </c>
      <c r="X48" s="180">
        <f t="shared" si="56"/>
        <v>1541</v>
      </c>
      <c r="Y48" s="194">
        <f t="shared" si="57"/>
        <v>1625</v>
      </c>
      <c r="Z48" s="182">
        <f t="shared" si="58"/>
        <v>2765</v>
      </c>
      <c r="AA48" s="183">
        <f t="shared" si="59"/>
        <v>2398</v>
      </c>
      <c r="AB48" s="184">
        <f t="shared" si="60"/>
        <v>965</v>
      </c>
      <c r="AC48" s="185">
        <f t="shared" si="61"/>
        <v>15736</v>
      </c>
      <c r="AE48" s="12">
        <v>2008</v>
      </c>
      <c r="AF48" s="178">
        <f t="shared" si="46"/>
        <v>3418</v>
      </c>
      <c r="AG48" s="179">
        <f t="shared" si="47"/>
        <v>11076</v>
      </c>
      <c r="AH48" s="180">
        <f t="shared" si="48"/>
        <v>3972</v>
      </c>
      <c r="AI48" s="194">
        <f t="shared" si="49"/>
        <v>3680</v>
      </c>
      <c r="AJ48" s="182">
        <f t="shared" si="50"/>
        <v>5866</v>
      </c>
      <c r="AK48" s="183">
        <f t="shared" si="51"/>
        <v>5044</v>
      </c>
      <c r="AL48" s="184">
        <f t="shared" si="52"/>
        <v>1957</v>
      </c>
      <c r="AM48" s="185">
        <f t="shared" si="53"/>
        <v>35013</v>
      </c>
    </row>
    <row r="49" spans="1:39">
      <c r="I49">
        <v>38972</v>
      </c>
      <c r="K49" s="12">
        <v>2009</v>
      </c>
      <c r="L49" s="178">
        <v>1807</v>
      </c>
      <c r="M49" s="179">
        <v>6740</v>
      </c>
      <c r="N49" s="180">
        <v>2389</v>
      </c>
      <c r="O49" s="194">
        <v>2167</v>
      </c>
      <c r="P49" s="182">
        <v>3134</v>
      </c>
      <c r="Q49" s="183">
        <v>2764</v>
      </c>
      <c r="R49" s="187">
        <v>1158</v>
      </c>
      <c r="S49" s="185">
        <v>20160</v>
      </c>
      <c r="U49" s="12">
        <v>2009</v>
      </c>
      <c r="V49" s="178">
        <f t="shared" si="54"/>
        <v>1660</v>
      </c>
      <c r="W49" s="179">
        <f t="shared" si="55"/>
        <v>5103</v>
      </c>
      <c r="X49" s="180">
        <f t="shared" si="56"/>
        <v>1479</v>
      </c>
      <c r="Y49" s="194">
        <f t="shared" si="57"/>
        <v>1639</v>
      </c>
      <c r="Z49" s="182">
        <f t="shared" si="58"/>
        <v>2818</v>
      </c>
      <c r="AA49" s="183">
        <f t="shared" si="59"/>
        <v>2519</v>
      </c>
      <c r="AB49" s="184">
        <f t="shared" si="60"/>
        <v>1094</v>
      </c>
      <c r="AC49" s="185">
        <f t="shared" si="61"/>
        <v>16312</v>
      </c>
      <c r="AE49" s="12">
        <v>2009</v>
      </c>
      <c r="AF49" s="178">
        <f t="shared" si="46"/>
        <v>3467</v>
      </c>
      <c r="AG49" s="179">
        <f t="shared" si="47"/>
        <v>11843</v>
      </c>
      <c r="AH49" s="180">
        <f t="shared" si="48"/>
        <v>3868</v>
      </c>
      <c r="AI49" s="194">
        <f t="shared" si="49"/>
        <v>3806</v>
      </c>
      <c r="AJ49" s="182">
        <f t="shared" si="50"/>
        <v>5952</v>
      </c>
      <c r="AK49" s="183">
        <f t="shared" si="51"/>
        <v>5283</v>
      </c>
      <c r="AL49" s="184">
        <f t="shared" si="52"/>
        <v>2252</v>
      </c>
      <c r="AM49" s="185">
        <f t="shared" si="53"/>
        <v>36472</v>
      </c>
    </row>
    <row r="50" spans="1:39">
      <c r="I50">
        <v>39344</v>
      </c>
      <c r="K50" s="12">
        <v>2010</v>
      </c>
      <c r="L50" s="178">
        <v>1779</v>
      </c>
      <c r="M50" s="179">
        <v>6949</v>
      </c>
      <c r="N50" s="180">
        <v>2228</v>
      </c>
      <c r="O50" s="194">
        <v>2178</v>
      </c>
      <c r="P50" s="182">
        <v>3003</v>
      </c>
      <c r="Q50" s="183">
        <v>2815</v>
      </c>
      <c r="R50" s="187">
        <v>1330</v>
      </c>
      <c r="S50" s="185">
        <v>20282</v>
      </c>
      <c r="U50" s="12">
        <v>2010</v>
      </c>
      <c r="V50" s="178">
        <v>1004</v>
      </c>
      <c r="W50" s="179">
        <v>2870</v>
      </c>
      <c r="X50" s="180">
        <v>947</v>
      </c>
      <c r="Y50" s="194">
        <v>947</v>
      </c>
      <c r="Z50" s="182">
        <v>1818</v>
      </c>
      <c r="AA50" s="183">
        <v>1588</v>
      </c>
      <c r="AB50" s="184">
        <v>717</v>
      </c>
      <c r="AC50" s="185">
        <v>10100</v>
      </c>
      <c r="AE50" s="12">
        <v>2010</v>
      </c>
      <c r="AF50" s="178">
        <f t="shared" si="46"/>
        <v>2783</v>
      </c>
      <c r="AG50" s="179">
        <f t="shared" si="47"/>
        <v>9819</v>
      </c>
      <c r="AH50" s="180">
        <f t="shared" si="48"/>
        <v>3175</v>
      </c>
      <c r="AI50" s="194">
        <f t="shared" si="49"/>
        <v>3125</v>
      </c>
      <c r="AJ50" s="182">
        <f t="shared" si="50"/>
        <v>4821</v>
      </c>
      <c r="AK50" s="183">
        <f t="shared" si="51"/>
        <v>4403</v>
      </c>
      <c r="AL50" s="184">
        <f t="shared" si="52"/>
        <v>2047</v>
      </c>
      <c r="AM50" s="185">
        <f t="shared" si="53"/>
        <v>30382</v>
      </c>
    </row>
    <row r="51" spans="1:39">
      <c r="I51">
        <v>39872</v>
      </c>
      <c r="K51" s="12">
        <v>2011</v>
      </c>
      <c r="L51" s="178">
        <v>1808</v>
      </c>
      <c r="M51" s="179">
        <v>7201</v>
      </c>
      <c r="N51" s="180">
        <v>2086</v>
      </c>
      <c r="O51" s="194">
        <v>2204</v>
      </c>
      <c r="P51" s="182">
        <v>2891</v>
      </c>
      <c r="Q51" s="183">
        <v>2945</v>
      </c>
      <c r="R51" s="187">
        <v>1604</v>
      </c>
      <c r="S51" s="185">
        <v>20739</v>
      </c>
      <c r="U51" s="12">
        <v>2011</v>
      </c>
      <c r="V51" s="178">
        <v>1055</v>
      </c>
      <c r="W51" s="179">
        <v>2931</v>
      </c>
      <c r="X51" s="180">
        <v>1118</v>
      </c>
      <c r="Y51" s="194">
        <v>42</v>
      </c>
      <c r="Z51" s="182">
        <v>1763</v>
      </c>
      <c r="AA51" s="183">
        <v>1642</v>
      </c>
      <c r="AB51" s="184">
        <v>817</v>
      </c>
      <c r="AC51" s="185">
        <v>10269</v>
      </c>
      <c r="AE51" s="12">
        <v>2011</v>
      </c>
      <c r="AF51" s="178">
        <f t="shared" si="46"/>
        <v>2863</v>
      </c>
      <c r="AG51" s="179">
        <f t="shared" si="47"/>
        <v>10132</v>
      </c>
      <c r="AH51" s="180">
        <f t="shared" si="48"/>
        <v>3204</v>
      </c>
      <c r="AI51" s="194">
        <f t="shared" si="49"/>
        <v>2246</v>
      </c>
      <c r="AJ51" s="182">
        <f t="shared" si="50"/>
        <v>4654</v>
      </c>
      <c r="AK51" s="183">
        <f t="shared" si="51"/>
        <v>4587</v>
      </c>
      <c r="AL51" s="184">
        <f t="shared" si="52"/>
        <v>2421</v>
      </c>
      <c r="AM51" s="185">
        <f t="shared" si="53"/>
        <v>31008</v>
      </c>
    </row>
    <row r="52" spans="1:39">
      <c r="I52">
        <v>41189</v>
      </c>
      <c r="K52" s="12">
        <v>2012</v>
      </c>
      <c r="L52" s="178">
        <v>1847</v>
      </c>
      <c r="M52" s="179">
        <v>7364</v>
      </c>
      <c r="N52" s="180">
        <v>1925</v>
      </c>
      <c r="O52" s="194">
        <v>2208</v>
      </c>
      <c r="P52" s="182">
        <v>2743</v>
      </c>
      <c r="Q52" s="183">
        <v>3099</v>
      </c>
      <c r="R52" s="187">
        <v>2007</v>
      </c>
      <c r="S52" s="185">
        <v>21195</v>
      </c>
      <c r="U52" s="12">
        <v>2012</v>
      </c>
      <c r="V52" s="178">
        <v>1120</v>
      </c>
      <c r="W52" s="179">
        <v>3029</v>
      </c>
      <c r="X52" s="180">
        <v>1062</v>
      </c>
      <c r="Y52" s="194">
        <v>970</v>
      </c>
      <c r="Z52" s="182">
        <v>1725</v>
      </c>
      <c r="AA52" s="183">
        <v>1794</v>
      </c>
      <c r="AB52" s="184">
        <v>974</v>
      </c>
      <c r="AC52" s="185">
        <v>10674</v>
      </c>
      <c r="AE52" s="12">
        <v>2012</v>
      </c>
      <c r="AF52" s="178">
        <f t="shared" si="46"/>
        <v>2967</v>
      </c>
      <c r="AG52" s="179">
        <f t="shared" si="47"/>
        <v>10393</v>
      </c>
      <c r="AH52" s="180">
        <f t="shared" si="48"/>
        <v>2987</v>
      </c>
      <c r="AI52" s="194">
        <f t="shared" si="49"/>
        <v>3178</v>
      </c>
      <c r="AJ52" s="182">
        <f t="shared" si="50"/>
        <v>4468</v>
      </c>
      <c r="AK52" s="183">
        <f t="shared" si="51"/>
        <v>4893</v>
      </c>
      <c r="AL52" s="184">
        <f t="shared" si="52"/>
        <v>2981</v>
      </c>
      <c r="AM52" s="185">
        <f t="shared" si="53"/>
        <v>31869</v>
      </c>
    </row>
    <row r="53" spans="1:39">
      <c r="I53">
        <v>39941</v>
      </c>
      <c r="K53" s="12">
        <v>2013</v>
      </c>
      <c r="L53" s="178">
        <v>2566</v>
      </c>
      <c r="M53" s="179">
        <v>6914</v>
      </c>
      <c r="N53" s="180">
        <v>2128</v>
      </c>
      <c r="O53" s="194">
        <v>1874</v>
      </c>
      <c r="P53" s="182">
        <v>2404</v>
      </c>
      <c r="Q53" s="183">
        <v>2505</v>
      </c>
      <c r="R53" s="187">
        <v>2040</v>
      </c>
      <c r="S53" s="185">
        <v>20430</v>
      </c>
      <c r="U53" s="12">
        <v>2013</v>
      </c>
      <c r="V53" s="178">
        <v>1587</v>
      </c>
      <c r="W53" s="179">
        <v>2883</v>
      </c>
      <c r="X53" s="180">
        <v>1072</v>
      </c>
      <c r="Y53" s="194">
        <v>823</v>
      </c>
      <c r="Z53" s="182">
        <v>1544</v>
      </c>
      <c r="AA53" s="183">
        <v>1573</v>
      </c>
      <c r="AB53" s="184">
        <v>1013</v>
      </c>
      <c r="AC53" s="185">
        <v>10496</v>
      </c>
      <c r="AE53" s="12">
        <v>2013</v>
      </c>
      <c r="AF53" s="178">
        <f t="shared" si="46"/>
        <v>4153</v>
      </c>
      <c r="AG53" s="179">
        <f t="shared" si="47"/>
        <v>9797</v>
      </c>
      <c r="AH53" s="180">
        <f t="shared" si="48"/>
        <v>3200</v>
      </c>
      <c r="AI53" s="194">
        <f t="shared" si="49"/>
        <v>2697</v>
      </c>
      <c r="AJ53" s="182">
        <f t="shared" si="50"/>
        <v>3948</v>
      </c>
      <c r="AK53" s="183">
        <f t="shared" si="51"/>
        <v>4078</v>
      </c>
      <c r="AL53" s="184">
        <f t="shared" si="52"/>
        <v>3053</v>
      </c>
      <c r="AM53" s="185">
        <f t="shared" si="53"/>
        <v>30926</v>
      </c>
    </row>
    <row r="54" spans="1:39">
      <c r="I54">
        <v>43415</v>
      </c>
      <c r="K54" s="12">
        <v>2014</v>
      </c>
      <c r="L54" s="178">
        <v>2920</v>
      </c>
      <c r="M54" s="179">
        <v>8322</v>
      </c>
      <c r="N54" s="180">
        <v>2508</v>
      </c>
      <c r="O54" s="194">
        <v>1752</v>
      </c>
      <c r="P54" s="182">
        <v>2292</v>
      </c>
      <c r="Q54" s="183">
        <v>2357</v>
      </c>
      <c r="R54" s="187">
        <v>2267</v>
      </c>
      <c r="S54" s="185">
        <v>22417</v>
      </c>
      <c r="U54" s="12">
        <v>2014</v>
      </c>
      <c r="V54" s="178">
        <v>1728</v>
      </c>
      <c r="W54" s="179">
        <v>3496</v>
      </c>
      <c r="X54" s="180">
        <v>1146</v>
      </c>
      <c r="Y54" s="194">
        <v>775</v>
      </c>
      <c r="Z54" s="182">
        <v>1495</v>
      </c>
      <c r="AA54" s="183">
        <v>1489</v>
      </c>
      <c r="AB54" s="184">
        <v>1145</v>
      </c>
      <c r="AC54" s="185">
        <v>11272</v>
      </c>
      <c r="AE54" s="12">
        <v>2014</v>
      </c>
      <c r="AF54" s="178">
        <f t="shared" si="46"/>
        <v>4648</v>
      </c>
      <c r="AG54" s="179">
        <f t="shared" si="47"/>
        <v>11818</v>
      </c>
      <c r="AH54" s="180">
        <f t="shared" si="48"/>
        <v>3654</v>
      </c>
      <c r="AI54" s="194">
        <f t="shared" si="49"/>
        <v>2527</v>
      </c>
      <c r="AJ54" s="182">
        <f t="shared" si="50"/>
        <v>3787</v>
      </c>
      <c r="AK54" s="183">
        <f t="shared" si="51"/>
        <v>3846</v>
      </c>
      <c r="AL54" s="184">
        <f t="shared" si="52"/>
        <v>3412</v>
      </c>
      <c r="AM54" s="185">
        <f t="shared" si="53"/>
        <v>33689</v>
      </c>
    </row>
    <row r="55" spans="1:39">
      <c r="I55">
        <v>42368</v>
      </c>
      <c r="K55" s="12">
        <v>2015</v>
      </c>
      <c r="L55" s="178">
        <v>3083</v>
      </c>
      <c r="M55" s="179">
        <v>8046</v>
      </c>
      <c r="N55" s="180">
        <v>2547</v>
      </c>
      <c r="O55" s="194">
        <v>1500</v>
      </c>
      <c r="P55" s="182">
        <v>1972</v>
      </c>
      <c r="Q55" s="183">
        <v>2047</v>
      </c>
      <c r="R55" s="187">
        <v>2287</v>
      </c>
      <c r="S55" s="185">
        <v>21483</v>
      </c>
      <c r="U55" s="12">
        <v>2015</v>
      </c>
      <c r="V55" s="178">
        <v>1773</v>
      </c>
      <c r="W55" s="179">
        <v>3580</v>
      </c>
      <c r="X55" s="180">
        <v>1090</v>
      </c>
      <c r="Y55" s="194">
        <v>691</v>
      </c>
      <c r="Z55" s="182">
        <v>1349</v>
      </c>
      <c r="AA55" s="183">
        <v>1338</v>
      </c>
      <c r="AB55" s="184">
        <v>1212</v>
      </c>
      <c r="AC55" s="185">
        <v>11033</v>
      </c>
      <c r="AE55" s="12">
        <v>2015</v>
      </c>
      <c r="AF55" s="178">
        <f t="shared" si="46"/>
        <v>4856</v>
      </c>
      <c r="AG55" s="179">
        <f t="shared" si="47"/>
        <v>11626</v>
      </c>
      <c r="AH55" s="180">
        <f t="shared" si="48"/>
        <v>3637</v>
      </c>
      <c r="AI55" s="194">
        <f t="shared" si="49"/>
        <v>2191</v>
      </c>
      <c r="AJ55" s="182">
        <f t="shared" si="50"/>
        <v>3321</v>
      </c>
      <c r="AK55" s="183">
        <f t="shared" si="51"/>
        <v>3385</v>
      </c>
      <c r="AL55" s="184">
        <f t="shared" si="52"/>
        <v>3499</v>
      </c>
      <c r="AM55" s="185">
        <f t="shared" si="53"/>
        <v>32516</v>
      </c>
    </row>
    <row r="56" spans="1:39">
      <c r="I56">
        <v>43120</v>
      </c>
      <c r="K56" s="12">
        <v>2016</v>
      </c>
      <c r="L56" s="178">
        <v>3539</v>
      </c>
      <c r="M56" s="179">
        <v>8323</v>
      </c>
      <c r="N56" s="180">
        <v>2948</v>
      </c>
      <c r="O56" s="194">
        <v>1379</v>
      </c>
      <c r="P56" s="182">
        <v>1789</v>
      </c>
      <c r="Q56" s="183">
        <v>1893</v>
      </c>
      <c r="R56" s="187">
        <v>2446</v>
      </c>
      <c r="S56" s="185">
        <v>22318</v>
      </c>
      <c r="U56" s="12">
        <v>2016</v>
      </c>
      <c r="V56" s="178">
        <v>1856</v>
      </c>
      <c r="W56" s="179">
        <v>3758</v>
      </c>
      <c r="X56" s="180">
        <v>1130</v>
      </c>
      <c r="Y56" s="194">
        <v>633</v>
      </c>
      <c r="Z56" s="182">
        <v>1226</v>
      </c>
      <c r="AA56" s="183">
        <v>1231</v>
      </c>
      <c r="AB56" s="184">
        <v>1297</v>
      </c>
      <c r="AC56" s="185">
        <v>11131</v>
      </c>
      <c r="AE56" s="12">
        <v>2016</v>
      </c>
      <c r="AF56" s="178">
        <f t="shared" si="46"/>
        <v>5395</v>
      </c>
      <c r="AG56" s="179">
        <f t="shared" si="47"/>
        <v>12081</v>
      </c>
      <c r="AH56" s="180">
        <f t="shared" si="48"/>
        <v>4078</v>
      </c>
      <c r="AI56" s="194">
        <f t="shared" si="49"/>
        <v>2012</v>
      </c>
      <c r="AJ56" s="182">
        <f t="shared" si="50"/>
        <v>3015</v>
      </c>
      <c r="AK56" s="183">
        <f t="shared" si="51"/>
        <v>3124</v>
      </c>
      <c r="AL56" s="184">
        <f t="shared" si="52"/>
        <v>3743</v>
      </c>
      <c r="AM56" s="185">
        <f t="shared" si="53"/>
        <v>33449</v>
      </c>
    </row>
    <row r="57" spans="1:39">
      <c r="I57">
        <v>42157</v>
      </c>
      <c r="K57" s="12">
        <v>2017</v>
      </c>
      <c r="L57" s="178">
        <v>3935</v>
      </c>
      <c r="M57" s="179">
        <v>8203</v>
      </c>
      <c r="N57" s="180">
        <v>3038</v>
      </c>
      <c r="O57" s="194">
        <v>1220</v>
      </c>
      <c r="P57" s="182">
        <v>1523</v>
      </c>
      <c r="Q57" s="183">
        <v>1652</v>
      </c>
      <c r="R57" s="187">
        <v>1036</v>
      </c>
      <c r="S57" s="185">
        <v>22036</v>
      </c>
      <c r="U57" s="12">
        <v>2017</v>
      </c>
      <c r="V57" s="178">
        <v>1862</v>
      </c>
      <c r="W57" s="179">
        <v>3821</v>
      </c>
      <c r="X57" s="180">
        <v>1051</v>
      </c>
      <c r="Y57" s="194">
        <v>570</v>
      </c>
      <c r="Z57" s="182">
        <v>1053</v>
      </c>
      <c r="AA57" s="183">
        <v>1080</v>
      </c>
      <c r="AB57" s="184">
        <v>549</v>
      </c>
      <c r="AC57" s="185">
        <v>10774</v>
      </c>
      <c r="AE57" s="12">
        <v>2017</v>
      </c>
      <c r="AF57" s="178">
        <f t="shared" si="46"/>
        <v>5797</v>
      </c>
      <c r="AG57" s="179">
        <f t="shared" si="47"/>
        <v>12024</v>
      </c>
      <c r="AH57" s="180">
        <f t="shared" si="48"/>
        <v>4089</v>
      </c>
      <c r="AI57" s="194">
        <f t="shared" si="49"/>
        <v>1790</v>
      </c>
      <c r="AJ57" s="182">
        <f t="shared" si="50"/>
        <v>2576</v>
      </c>
      <c r="AK57" s="183">
        <f t="shared" si="51"/>
        <v>2732</v>
      </c>
      <c r="AL57" s="184">
        <f t="shared" si="52"/>
        <v>1585</v>
      </c>
      <c r="AM57" s="185">
        <f t="shared" si="53"/>
        <v>32810</v>
      </c>
    </row>
    <row r="58" spans="1:39">
      <c r="I58">
        <v>41965</v>
      </c>
      <c r="K58" s="12">
        <v>2018</v>
      </c>
      <c r="L58" s="178">
        <v>3879</v>
      </c>
      <c r="M58" s="179">
        <v>8009</v>
      </c>
      <c r="N58" s="180">
        <v>2972</v>
      </c>
      <c r="O58" s="194">
        <v>1203</v>
      </c>
      <c r="P58" s="182">
        <v>1502</v>
      </c>
      <c r="Q58" s="183">
        <v>1629</v>
      </c>
      <c r="R58" s="187">
        <v>1022</v>
      </c>
      <c r="S58" s="185">
        <v>21624</v>
      </c>
      <c r="U58" s="12">
        <v>2018</v>
      </c>
      <c r="V58" s="178">
        <v>1855</v>
      </c>
      <c r="W58" s="179">
        <v>3767</v>
      </c>
      <c r="X58" s="180">
        <v>1039</v>
      </c>
      <c r="Y58" s="194">
        <v>568</v>
      </c>
      <c r="Z58" s="182">
        <v>1050</v>
      </c>
      <c r="AA58" s="183">
        <v>1076</v>
      </c>
      <c r="AB58" s="184">
        <v>547</v>
      </c>
      <c r="AC58" s="185">
        <v>10706</v>
      </c>
      <c r="AE58" s="12">
        <v>2018</v>
      </c>
      <c r="AF58" s="178">
        <f t="shared" si="46"/>
        <v>5734</v>
      </c>
      <c r="AG58" s="179">
        <f t="shared" si="47"/>
        <v>11776</v>
      </c>
      <c r="AH58" s="180">
        <f t="shared" si="48"/>
        <v>4011</v>
      </c>
      <c r="AI58" s="194">
        <f t="shared" si="49"/>
        <v>1771</v>
      </c>
      <c r="AJ58" s="182">
        <f t="shared" si="50"/>
        <v>2552</v>
      </c>
      <c r="AK58" s="183">
        <f t="shared" si="51"/>
        <v>2705</v>
      </c>
      <c r="AL58" s="184">
        <f t="shared" si="52"/>
        <v>1569</v>
      </c>
      <c r="AM58" s="185">
        <f t="shared" si="53"/>
        <v>32330</v>
      </c>
    </row>
    <row r="59" spans="1:39">
      <c r="I59">
        <v>42937</v>
      </c>
      <c r="K59" s="12">
        <v>2019</v>
      </c>
      <c r="L59" s="178">
        <v>3996</v>
      </c>
      <c r="M59" s="179">
        <v>8206</v>
      </c>
      <c r="N59" s="180">
        <v>2948</v>
      </c>
      <c r="O59" s="194">
        <v>1239</v>
      </c>
      <c r="P59" s="182">
        <v>1567</v>
      </c>
      <c r="Q59" s="183">
        <v>1678</v>
      </c>
      <c r="R59" s="187">
        <v>1052</v>
      </c>
      <c r="S59" s="185">
        <v>22136</v>
      </c>
      <c r="U59" s="12">
        <v>2019</v>
      </c>
      <c r="V59" s="178">
        <v>1907</v>
      </c>
      <c r="W59" s="179">
        <v>3819</v>
      </c>
      <c r="X59" s="180">
        <v>1028</v>
      </c>
      <c r="Y59" s="194">
        <v>584</v>
      </c>
      <c r="Z59" s="182">
        <v>1093</v>
      </c>
      <c r="AA59" s="183">
        <v>1106</v>
      </c>
      <c r="AB59" s="184">
        <v>563</v>
      </c>
      <c r="AC59" s="185">
        <v>10939</v>
      </c>
      <c r="AE59" s="12">
        <v>2019</v>
      </c>
      <c r="AF59" s="178">
        <f t="shared" si="46"/>
        <v>5903</v>
      </c>
      <c r="AG59" s="179">
        <f t="shared" si="47"/>
        <v>12025</v>
      </c>
      <c r="AH59" s="180">
        <f t="shared" si="48"/>
        <v>3976</v>
      </c>
      <c r="AI59" s="194">
        <f t="shared" si="49"/>
        <v>1823</v>
      </c>
      <c r="AJ59" s="182">
        <f t="shared" si="50"/>
        <v>2660</v>
      </c>
      <c r="AK59" s="183">
        <f t="shared" si="51"/>
        <v>2784</v>
      </c>
      <c r="AL59" s="184">
        <f t="shared" si="52"/>
        <v>1615</v>
      </c>
      <c r="AM59" s="185">
        <f t="shared" si="53"/>
        <v>33075</v>
      </c>
    </row>
    <row r="60" spans="1:39">
      <c r="I60">
        <v>46676</v>
      </c>
      <c r="K60" s="12">
        <v>2020</v>
      </c>
      <c r="L60" s="178">
        <v>4259</v>
      </c>
      <c r="M60" s="179">
        <v>9257</v>
      </c>
      <c r="N60" s="180">
        <v>3168</v>
      </c>
      <c r="O60" s="194">
        <v>1320</v>
      </c>
      <c r="P60" s="182">
        <v>1667</v>
      </c>
      <c r="Q60" s="183">
        <v>1788</v>
      </c>
      <c r="R60" s="187">
        <v>1122</v>
      </c>
      <c r="S60" s="185">
        <v>24126</v>
      </c>
      <c r="U60" s="12">
        <v>2020</v>
      </c>
      <c r="V60" s="178">
        <v>2016</v>
      </c>
      <c r="W60" s="179">
        <v>4280</v>
      </c>
      <c r="X60" s="180">
        <v>1096</v>
      </c>
      <c r="Y60" s="194">
        <v>617</v>
      </c>
      <c r="Z60" s="182">
        <v>1153</v>
      </c>
      <c r="AA60" s="183">
        <v>1169</v>
      </c>
      <c r="AB60" s="184">
        <v>595</v>
      </c>
      <c r="AC60" s="185">
        <v>11825</v>
      </c>
      <c r="AE60" s="12">
        <v>2020</v>
      </c>
      <c r="AF60" s="178">
        <f t="shared" si="46"/>
        <v>6275</v>
      </c>
      <c r="AG60" s="179">
        <f t="shared" si="47"/>
        <v>13537</v>
      </c>
      <c r="AH60" s="180">
        <f t="shared" si="48"/>
        <v>4264</v>
      </c>
      <c r="AI60" s="194">
        <f t="shared" si="49"/>
        <v>1937</v>
      </c>
      <c r="AJ60" s="182">
        <f t="shared" si="50"/>
        <v>2820</v>
      </c>
      <c r="AK60" s="183">
        <f t="shared" si="51"/>
        <v>2957</v>
      </c>
      <c r="AL60" s="184">
        <f t="shared" si="52"/>
        <v>1717</v>
      </c>
      <c r="AM60" s="185">
        <f t="shared" si="53"/>
        <v>35951</v>
      </c>
    </row>
    <row r="61" spans="1:39">
      <c r="I61">
        <v>47465</v>
      </c>
      <c r="K61" s="12">
        <v>2021</v>
      </c>
      <c r="L61" s="178">
        <v>4196</v>
      </c>
      <c r="M61" s="179">
        <v>9309</v>
      </c>
      <c r="N61" s="180">
        <v>3073</v>
      </c>
      <c r="O61" s="194">
        <v>1301</v>
      </c>
      <c r="P61" s="182">
        <v>1651</v>
      </c>
      <c r="Q61" s="183">
        <v>1762</v>
      </c>
      <c r="R61" s="187">
        <v>1105</v>
      </c>
      <c r="S61" s="185">
        <v>23919</v>
      </c>
      <c r="U61" s="12">
        <v>2021</v>
      </c>
      <c r="V61" s="178">
        <v>2056</v>
      </c>
      <c r="W61" s="179">
        <v>4446</v>
      </c>
      <c r="X61" s="180">
        <v>1100</v>
      </c>
      <c r="Y61" s="194">
        <v>630</v>
      </c>
      <c r="Z61" s="182">
        <v>1183</v>
      </c>
      <c r="AA61" s="183">
        <v>1193</v>
      </c>
      <c r="AB61" s="184">
        <v>607</v>
      </c>
      <c r="AC61" s="185">
        <v>12061</v>
      </c>
      <c r="AE61" s="12">
        <v>2021</v>
      </c>
      <c r="AF61" s="178">
        <f t="shared" si="46"/>
        <v>6252</v>
      </c>
      <c r="AG61" s="179">
        <f t="shared" si="47"/>
        <v>13755</v>
      </c>
      <c r="AH61" s="180">
        <f t="shared" si="48"/>
        <v>4173</v>
      </c>
      <c r="AI61" s="194">
        <f t="shared" si="49"/>
        <v>1931</v>
      </c>
      <c r="AJ61" s="182">
        <f t="shared" si="50"/>
        <v>2834</v>
      </c>
      <c r="AK61" s="183">
        <f t="shared" si="51"/>
        <v>2955</v>
      </c>
      <c r="AL61" s="184">
        <f t="shared" si="52"/>
        <v>1712</v>
      </c>
      <c r="AM61" s="185">
        <f t="shared" si="53"/>
        <v>35980</v>
      </c>
    </row>
    <row r="63" spans="1:39">
      <c r="A63" s="98" t="s">
        <v>578</v>
      </c>
      <c r="B63" s="17"/>
      <c r="C63" s="17"/>
      <c r="D63" s="17"/>
      <c r="E63" s="17"/>
      <c r="F63" s="17"/>
      <c r="G63" s="17"/>
      <c r="H63" s="17"/>
      <c r="I63" s="17"/>
    </row>
    <row r="64" spans="1:39">
      <c r="A64" s="23"/>
      <c r="B64" t="s">
        <v>510</v>
      </c>
      <c r="C64" t="s">
        <v>511</v>
      </c>
      <c r="D64" t="s">
        <v>512</v>
      </c>
      <c r="E64" t="s">
        <v>513</v>
      </c>
      <c r="F64" t="s">
        <v>514</v>
      </c>
      <c r="G64" t="s">
        <v>515</v>
      </c>
      <c r="H64" t="s">
        <v>516</v>
      </c>
      <c r="I64" s="24" t="s">
        <v>517</v>
      </c>
      <c r="K64" s="54" t="s">
        <v>566</v>
      </c>
      <c r="U64" s="54" t="s">
        <v>567</v>
      </c>
      <c r="AE64" s="54" t="s">
        <v>568</v>
      </c>
    </row>
    <row r="65" spans="1:39" ht="25.5">
      <c r="A65" s="23">
        <v>2005</v>
      </c>
      <c r="B65" s="17">
        <v>0.35</v>
      </c>
      <c r="C65" s="17">
        <v>0.1</v>
      </c>
      <c r="D65" s="17">
        <v>0.12</v>
      </c>
      <c r="E65" s="17">
        <v>0.16</v>
      </c>
      <c r="F65" s="17">
        <v>0.13</v>
      </c>
      <c r="G65" s="17">
        <v>0.09</v>
      </c>
      <c r="H65" s="17">
        <v>0.05</v>
      </c>
      <c r="I65" s="25">
        <f>SUM(B65:H65)</f>
        <v>1</v>
      </c>
      <c r="K65" s="2" t="s">
        <v>496</v>
      </c>
      <c r="L65" s="170" t="s">
        <v>571</v>
      </c>
      <c r="M65" s="171" t="s">
        <v>572</v>
      </c>
      <c r="N65" s="172" t="s">
        <v>573</v>
      </c>
      <c r="O65" s="173" t="s">
        <v>574</v>
      </c>
      <c r="P65" s="174" t="s">
        <v>575</v>
      </c>
      <c r="Q65" s="175" t="s">
        <v>576</v>
      </c>
      <c r="R65" s="176" t="s">
        <v>577</v>
      </c>
      <c r="S65" s="177" t="s">
        <v>500</v>
      </c>
      <c r="U65" s="2" t="s">
        <v>496</v>
      </c>
      <c r="V65" s="170" t="s">
        <v>571</v>
      </c>
      <c r="W65" s="171" t="s">
        <v>572</v>
      </c>
      <c r="X65" s="172" t="s">
        <v>573</v>
      </c>
      <c r="Y65" s="173" t="s">
        <v>574</v>
      </c>
      <c r="Z65" s="174" t="s">
        <v>575</v>
      </c>
      <c r="AA65" s="175" t="s">
        <v>576</v>
      </c>
      <c r="AB65" s="176" t="s">
        <v>577</v>
      </c>
      <c r="AC65" s="177" t="s">
        <v>500</v>
      </c>
      <c r="AE65" s="2" t="s">
        <v>496</v>
      </c>
      <c r="AF65" s="170" t="s">
        <v>571</v>
      </c>
      <c r="AG65" s="171" t="s">
        <v>572</v>
      </c>
      <c r="AH65" s="172" t="s">
        <v>573</v>
      </c>
      <c r="AI65" s="173" t="s">
        <v>574</v>
      </c>
      <c r="AJ65" s="174" t="s">
        <v>575</v>
      </c>
      <c r="AK65" s="175" t="s">
        <v>576</v>
      </c>
      <c r="AL65" s="176" t="s">
        <v>577</v>
      </c>
      <c r="AM65" s="177" t="s">
        <v>500</v>
      </c>
    </row>
    <row r="66" spans="1:39">
      <c r="A66" s="23">
        <v>2006</v>
      </c>
      <c r="B66" s="17">
        <v>0.34</v>
      </c>
      <c r="C66" s="17">
        <v>0.11</v>
      </c>
      <c r="D66" s="17">
        <v>0.12</v>
      </c>
      <c r="E66" s="17">
        <v>0.16</v>
      </c>
      <c r="F66" s="17">
        <v>0.13</v>
      </c>
      <c r="G66" s="17">
        <v>0.09</v>
      </c>
      <c r="H66" s="17">
        <v>0.05</v>
      </c>
      <c r="I66" s="25">
        <f>SUM(B66:H66)</f>
        <v>1</v>
      </c>
      <c r="K66" s="12">
        <v>2006</v>
      </c>
      <c r="L66" s="196">
        <f t="shared" ref="L66:S73" si="62">L46/$S46</f>
        <v>8.8365896980461808E-2</v>
      </c>
      <c r="M66" s="197">
        <f t="shared" si="62"/>
        <v>0.33980905861456484</v>
      </c>
      <c r="N66" s="198">
        <f t="shared" si="62"/>
        <v>0.11783969804618118</v>
      </c>
      <c r="O66" s="199">
        <f t="shared" si="62"/>
        <v>0.11922735346358793</v>
      </c>
      <c r="P66" s="200">
        <f t="shared" si="62"/>
        <v>0.15708259325044405</v>
      </c>
      <c r="Q66" s="201">
        <f t="shared" si="62"/>
        <v>0.12827486678507993</v>
      </c>
      <c r="R66" s="202">
        <f t="shared" si="62"/>
        <v>4.9400532859680282E-2</v>
      </c>
      <c r="S66" s="203">
        <f t="shared" si="62"/>
        <v>1</v>
      </c>
      <c r="U66" s="12">
        <v>2006</v>
      </c>
      <c r="V66" s="196">
        <f t="shared" ref="V66:AC73" si="63">V46/$AC46</f>
        <v>9.2257001647446463E-2</v>
      </c>
      <c r="W66" s="197">
        <f t="shared" si="63"/>
        <v>0.3298846787479407</v>
      </c>
      <c r="X66" s="198">
        <f t="shared" si="63"/>
        <v>8.1779242174629327E-2</v>
      </c>
      <c r="Y66" s="199">
        <f t="shared" si="63"/>
        <v>0.11598023064250412</v>
      </c>
      <c r="Z66" s="200">
        <f t="shared" si="63"/>
        <v>0.17502471169686984</v>
      </c>
      <c r="AA66" s="201">
        <f t="shared" si="63"/>
        <v>0.14570016474464581</v>
      </c>
      <c r="AB66" s="202">
        <f t="shared" si="63"/>
        <v>5.9505766062602966E-2</v>
      </c>
      <c r="AC66" s="203">
        <f t="shared" si="63"/>
        <v>1</v>
      </c>
      <c r="AE66" s="12">
        <v>2006</v>
      </c>
      <c r="AF66" s="196">
        <f t="shared" ref="AF66:AM73" si="64">(L66*$S46+V66*$AC46)/$I46</f>
        <v>8.4452975047984644E-2</v>
      </c>
      <c r="AG66" s="197">
        <f t="shared" si="64"/>
        <v>0.31410184035226374</v>
      </c>
      <c r="AH66" s="198">
        <f t="shared" si="64"/>
        <v>9.4953144405554926E-2</v>
      </c>
      <c r="AI66" s="199">
        <f t="shared" si="64"/>
        <v>0.11030823077791577</v>
      </c>
      <c r="AJ66" s="200">
        <f t="shared" si="64"/>
        <v>0.15484927176244778</v>
      </c>
      <c r="AK66" s="201">
        <f t="shared" si="64"/>
        <v>0.12763915547024951</v>
      </c>
      <c r="AL66" s="202">
        <f t="shared" si="64"/>
        <v>5.0609687253020209E-2</v>
      </c>
      <c r="AM66" s="203">
        <f t="shared" si="64"/>
        <v>0.93685785254600884</v>
      </c>
    </row>
    <row r="67" spans="1:39">
      <c r="A67" s="23">
        <v>2007</v>
      </c>
      <c r="B67" s="19" t="s">
        <v>528</v>
      </c>
      <c r="C67" s="19"/>
      <c r="D67" s="19"/>
      <c r="E67" s="19"/>
      <c r="F67" s="19"/>
      <c r="G67" s="19"/>
      <c r="H67" s="19"/>
      <c r="I67" s="31"/>
      <c r="K67" s="12">
        <v>2007</v>
      </c>
      <c r="L67" s="196">
        <f t="shared" si="62"/>
        <v>9.1216760676873496E-2</v>
      </c>
      <c r="M67" s="197">
        <f t="shared" si="62"/>
        <v>0.33177544990598978</v>
      </c>
      <c r="N67" s="198">
        <f t="shared" si="62"/>
        <v>0.12199838839645447</v>
      </c>
      <c r="O67" s="199">
        <f t="shared" si="62"/>
        <v>0.11281224818694602</v>
      </c>
      <c r="P67" s="200">
        <f t="shared" si="62"/>
        <v>0.15911899006177813</v>
      </c>
      <c r="Q67" s="201">
        <f t="shared" si="62"/>
        <v>0.13263497179693795</v>
      </c>
      <c r="R67" s="202">
        <f t="shared" si="62"/>
        <v>5.0443190975020147E-2</v>
      </c>
      <c r="S67" s="203">
        <f t="shared" si="62"/>
        <v>1</v>
      </c>
      <c r="U67" s="12">
        <v>2007</v>
      </c>
      <c r="V67" s="196">
        <f t="shared" si="63"/>
        <v>9.681144543529864E-2</v>
      </c>
      <c r="W67" s="197">
        <f t="shared" si="63"/>
        <v>0.3184063642779239</v>
      </c>
      <c r="X67" s="198">
        <f t="shared" si="63"/>
        <v>8.9754282414832867E-2</v>
      </c>
      <c r="Y67" s="199">
        <f t="shared" si="63"/>
        <v>0.10964265092705459</v>
      </c>
      <c r="Z67" s="200">
        <f t="shared" si="63"/>
        <v>0.17585167126451531</v>
      </c>
      <c r="AA67" s="201">
        <f t="shared" si="63"/>
        <v>0.14903445178674538</v>
      </c>
      <c r="AB67" s="202">
        <f t="shared" si="63"/>
        <v>6.0499133893629306E-2</v>
      </c>
      <c r="AC67" s="203">
        <f t="shared" si="63"/>
        <v>1</v>
      </c>
      <c r="AE67" s="12">
        <v>2007</v>
      </c>
      <c r="AF67" s="196">
        <f t="shared" si="64"/>
        <v>8.8051177859535451E-2</v>
      </c>
      <c r="AG67" s="197">
        <f t="shared" si="64"/>
        <v>0.30583164021745102</v>
      </c>
      <c r="AH67" s="198">
        <f t="shared" si="64"/>
        <v>0.10076327494371534</v>
      </c>
      <c r="AI67" s="199">
        <f t="shared" si="64"/>
        <v>0.10457964966229202</v>
      </c>
      <c r="AJ67" s="200">
        <f t="shared" si="64"/>
        <v>0.15658118719455275</v>
      </c>
      <c r="AK67" s="201">
        <f t="shared" si="64"/>
        <v>0.13156883202460051</v>
      </c>
      <c r="AL67" s="202">
        <f t="shared" si="64"/>
        <v>5.1672066333534675E-2</v>
      </c>
      <c r="AM67" s="203">
        <f t="shared" si="64"/>
        <v>0.93904782823568178</v>
      </c>
    </row>
    <row r="68" spans="1:39">
      <c r="A68" s="23">
        <v>2008</v>
      </c>
      <c r="B68" s="19"/>
      <c r="C68" s="19"/>
      <c r="D68" s="19"/>
      <c r="E68" s="19"/>
      <c r="F68" s="19"/>
      <c r="G68" s="19"/>
      <c r="H68" s="19"/>
      <c r="I68" s="31"/>
      <c r="K68" s="12">
        <v>2008</v>
      </c>
      <c r="L68" s="196">
        <f t="shared" si="62"/>
        <v>9.3998028738911651E-2</v>
      </c>
      <c r="M68" s="197">
        <f t="shared" si="62"/>
        <v>0.32370182082274213</v>
      </c>
      <c r="N68" s="198">
        <f t="shared" si="62"/>
        <v>0.12610883436219328</v>
      </c>
      <c r="O68" s="199">
        <f t="shared" si="62"/>
        <v>0.10660372464595114</v>
      </c>
      <c r="P68" s="200">
        <f t="shared" si="62"/>
        <v>0.16086527986719926</v>
      </c>
      <c r="Q68" s="201">
        <f t="shared" si="62"/>
        <v>0.13726202209887431</v>
      </c>
      <c r="R68" s="202">
        <f t="shared" si="62"/>
        <v>5.1460289464128235E-2</v>
      </c>
      <c r="S68" s="203">
        <f t="shared" si="62"/>
        <v>1</v>
      </c>
      <c r="U68" s="12">
        <v>2008</v>
      </c>
      <c r="V68" s="196">
        <f t="shared" si="63"/>
        <v>0.10205897305541434</v>
      </c>
      <c r="W68" s="197">
        <f t="shared" si="63"/>
        <v>0.30732079308591764</v>
      </c>
      <c r="X68" s="198">
        <f t="shared" si="63"/>
        <v>9.7928317234367054E-2</v>
      </c>
      <c r="Y68" s="199">
        <f t="shared" si="63"/>
        <v>0.103266395526182</v>
      </c>
      <c r="Z68" s="200">
        <f t="shared" si="63"/>
        <v>0.175711743772242</v>
      </c>
      <c r="AA68" s="201">
        <f t="shared" si="63"/>
        <v>0.15238942552109813</v>
      </c>
      <c r="AB68" s="202">
        <f t="shared" si="63"/>
        <v>6.1324351804778854E-2</v>
      </c>
      <c r="AC68" s="203">
        <f t="shared" si="63"/>
        <v>1</v>
      </c>
      <c r="AE68" s="12">
        <v>2008</v>
      </c>
      <c r="AF68" s="196">
        <f t="shared" si="64"/>
        <v>9.2129380053908361E-2</v>
      </c>
      <c r="AG68" s="197">
        <f t="shared" si="64"/>
        <v>0.29854447439353099</v>
      </c>
      <c r="AH68" s="198">
        <f t="shared" si="64"/>
        <v>0.10706199460916442</v>
      </c>
      <c r="AI68" s="199">
        <f t="shared" si="64"/>
        <v>9.9191374663072776E-2</v>
      </c>
      <c r="AJ68" s="200">
        <f t="shared" si="64"/>
        <v>0.15811320754716982</v>
      </c>
      <c r="AK68" s="201">
        <f t="shared" si="64"/>
        <v>0.13595687331536388</v>
      </c>
      <c r="AL68" s="202">
        <f t="shared" si="64"/>
        <v>5.2749326145552562E-2</v>
      </c>
      <c r="AM68" s="203">
        <f t="shared" si="64"/>
        <v>0.94374663072776277</v>
      </c>
    </row>
    <row r="69" spans="1:39">
      <c r="A69" s="23">
        <v>2009</v>
      </c>
      <c r="B69" s="19"/>
      <c r="C69" s="19"/>
      <c r="D69" s="19"/>
      <c r="E69" s="19"/>
      <c r="F69" s="19"/>
      <c r="G69" s="19"/>
      <c r="H69" s="19"/>
      <c r="I69" s="31"/>
      <c r="K69" s="12">
        <v>2009</v>
      </c>
      <c r="L69" s="196">
        <f t="shared" si="62"/>
        <v>8.9632936507936509E-2</v>
      </c>
      <c r="M69" s="197">
        <f t="shared" si="62"/>
        <v>0.3343253968253968</v>
      </c>
      <c r="N69" s="198">
        <f t="shared" si="62"/>
        <v>0.11850198412698412</v>
      </c>
      <c r="O69" s="199">
        <f t="shared" si="62"/>
        <v>0.10749007936507937</v>
      </c>
      <c r="P69" s="200">
        <f t="shared" si="62"/>
        <v>0.15545634920634921</v>
      </c>
      <c r="Q69" s="201">
        <f t="shared" si="62"/>
        <v>0.13710317460317462</v>
      </c>
      <c r="R69" s="202">
        <f t="shared" si="62"/>
        <v>5.7440476190476188E-2</v>
      </c>
      <c r="S69" s="203">
        <f t="shared" si="62"/>
        <v>1</v>
      </c>
      <c r="U69" s="12">
        <v>2009</v>
      </c>
      <c r="V69" s="196">
        <f t="shared" si="63"/>
        <v>0.10176557135850907</v>
      </c>
      <c r="W69" s="197">
        <f t="shared" si="63"/>
        <v>0.31283717508582637</v>
      </c>
      <c r="X69" s="198">
        <f t="shared" si="63"/>
        <v>9.0669445806768029E-2</v>
      </c>
      <c r="Y69" s="199">
        <f t="shared" si="63"/>
        <v>0.10047817557626287</v>
      </c>
      <c r="Z69" s="200">
        <f t="shared" si="63"/>
        <v>0.17275625306522804</v>
      </c>
      <c r="AA69" s="201">
        <f t="shared" si="63"/>
        <v>0.15442618930848456</v>
      </c>
      <c r="AB69" s="202">
        <f t="shared" si="63"/>
        <v>6.706718979892104E-2</v>
      </c>
      <c r="AC69" s="203">
        <f t="shared" si="63"/>
        <v>1</v>
      </c>
      <c r="AE69" s="12">
        <v>2009</v>
      </c>
      <c r="AF69" s="196">
        <f t="shared" si="64"/>
        <v>8.8961305552704512E-2</v>
      </c>
      <c r="AG69" s="197">
        <f t="shared" si="64"/>
        <v>0.30388484039823466</v>
      </c>
      <c r="AH69" s="198">
        <f t="shared" si="64"/>
        <v>9.9250744123986448E-2</v>
      </c>
      <c r="AI69" s="199">
        <f t="shared" si="64"/>
        <v>9.7659858359848098E-2</v>
      </c>
      <c r="AJ69" s="200">
        <f t="shared" si="64"/>
        <v>0.15272503335728216</v>
      </c>
      <c r="AK69" s="201">
        <f t="shared" si="64"/>
        <v>0.13555886277327311</v>
      </c>
      <c r="AL69" s="202">
        <f t="shared" si="64"/>
        <v>5.7785076465154468E-2</v>
      </c>
      <c r="AM69" s="203">
        <f t="shared" si="64"/>
        <v>0.93585138047829208</v>
      </c>
    </row>
    <row r="70" spans="1:39">
      <c r="A70" s="23">
        <v>2010</v>
      </c>
      <c r="B70" s="19"/>
      <c r="C70" s="19"/>
      <c r="D70" s="19"/>
      <c r="E70" s="19"/>
      <c r="F70" s="19"/>
      <c r="G70" s="19"/>
      <c r="H70" s="19"/>
      <c r="I70" s="31"/>
      <c r="K70" s="12">
        <v>2010</v>
      </c>
      <c r="L70" s="196">
        <f t="shared" si="62"/>
        <v>8.7713243269894492E-2</v>
      </c>
      <c r="M70" s="197">
        <f t="shared" si="62"/>
        <v>0.34261907109752487</v>
      </c>
      <c r="N70" s="198">
        <f t="shared" si="62"/>
        <v>0.10985109949709101</v>
      </c>
      <c r="O70" s="199">
        <f t="shared" si="62"/>
        <v>0.10738585938270387</v>
      </c>
      <c r="P70" s="200">
        <f t="shared" si="62"/>
        <v>0.1480623212700917</v>
      </c>
      <c r="Q70" s="201">
        <f t="shared" si="62"/>
        <v>0.13879301843999606</v>
      </c>
      <c r="R70" s="202">
        <f t="shared" si="62"/>
        <v>6.5575387042697955E-2</v>
      </c>
      <c r="S70" s="203">
        <f t="shared" si="62"/>
        <v>1</v>
      </c>
      <c r="U70" s="12">
        <v>2010</v>
      </c>
      <c r="V70" s="196">
        <f t="shared" si="63"/>
        <v>9.9405940594059411E-2</v>
      </c>
      <c r="W70" s="197">
        <f t="shared" si="63"/>
        <v>0.28415841584158413</v>
      </c>
      <c r="X70" s="198">
        <f t="shared" si="63"/>
        <v>9.3762376237623762E-2</v>
      </c>
      <c r="Y70" s="199">
        <f t="shared" si="63"/>
        <v>9.3762376237623762E-2</v>
      </c>
      <c r="Z70" s="200">
        <f t="shared" si="63"/>
        <v>0.18</v>
      </c>
      <c r="AA70" s="201">
        <f t="shared" si="63"/>
        <v>0.15722772277227723</v>
      </c>
      <c r="AB70" s="202">
        <f t="shared" si="63"/>
        <v>7.0990099009900984E-2</v>
      </c>
      <c r="AC70" s="203">
        <f t="shared" si="63"/>
        <v>1</v>
      </c>
      <c r="AE70" s="12">
        <v>2010</v>
      </c>
      <c r="AF70" s="196">
        <f t="shared" si="64"/>
        <v>7.0735054900365996E-2</v>
      </c>
      <c r="AG70" s="197">
        <f t="shared" si="64"/>
        <v>0.24956791378609186</v>
      </c>
      <c r="AH70" s="198">
        <f t="shared" si="64"/>
        <v>8.0698454656364382E-2</v>
      </c>
      <c r="AI70" s="199">
        <f t="shared" si="64"/>
        <v>7.9427612850752338E-2</v>
      </c>
      <c r="AJ70" s="200">
        <f t="shared" si="64"/>
        <v>0.12253456689711265</v>
      </c>
      <c r="AK70" s="201">
        <f t="shared" si="64"/>
        <v>0.11191032940219602</v>
      </c>
      <c r="AL70" s="202">
        <f t="shared" si="64"/>
        <v>5.202826352175681E-2</v>
      </c>
      <c r="AM70" s="203">
        <f t="shared" si="64"/>
        <v>0.77221431476209845</v>
      </c>
    </row>
    <row r="71" spans="1:39">
      <c r="A71" s="23">
        <v>2011</v>
      </c>
      <c r="B71" s="19"/>
      <c r="C71" s="19"/>
      <c r="D71" s="19"/>
      <c r="E71" s="19"/>
      <c r="F71" s="19"/>
      <c r="G71" s="19"/>
      <c r="H71" s="19"/>
      <c r="I71" s="31"/>
      <c r="K71" s="12">
        <v>2011</v>
      </c>
      <c r="L71" s="196">
        <f t="shared" si="62"/>
        <v>8.7178745358985482E-2</v>
      </c>
      <c r="M71" s="197">
        <f t="shared" si="62"/>
        <v>0.34722021312503015</v>
      </c>
      <c r="N71" s="198">
        <f t="shared" si="62"/>
        <v>0.1005834418245817</v>
      </c>
      <c r="O71" s="199">
        <f t="shared" si="62"/>
        <v>0.10627320507256859</v>
      </c>
      <c r="P71" s="200">
        <f t="shared" si="62"/>
        <v>0.13939919957567867</v>
      </c>
      <c r="Q71" s="201">
        <f t="shared" si="62"/>
        <v>0.14200298953662183</v>
      </c>
      <c r="R71" s="202">
        <f t="shared" si="62"/>
        <v>7.734220550653359E-2</v>
      </c>
      <c r="S71" s="203">
        <f t="shared" si="62"/>
        <v>1</v>
      </c>
      <c r="U71" s="12">
        <v>2011</v>
      </c>
      <c r="V71" s="196">
        <f t="shared" si="63"/>
        <v>0.10273639107994936</v>
      </c>
      <c r="W71" s="197">
        <f t="shared" si="63"/>
        <v>0.28542214431784985</v>
      </c>
      <c r="X71" s="198">
        <f t="shared" si="63"/>
        <v>0.10887136040510273</v>
      </c>
      <c r="Y71" s="199">
        <f t="shared" si="63"/>
        <v>4.0899795501022499E-3</v>
      </c>
      <c r="Z71" s="200">
        <f t="shared" si="63"/>
        <v>0.17168176063881585</v>
      </c>
      <c r="AA71" s="201">
        <f t="shared" si="63"/>
        <v>0.15989872431590224</v>
      </c>
      <c r="AB71" s="202">
        <f t="shared" si="63"/>
        <v>7.9559840296036619E-2</v>
      </c>
      <c r="AC71" s="203">
        <f t="shared" si="63"/>
        <v>1</v>
      </c>
      <c r="AE71" s="12">
        <v>2011</v>
      </c>
      <c r="AF71" s="196">
        <f t="shared" si="64"/>
        <v>7.1804775280898875E-2</v>
      </c>
      <c r="AG71" s="197">
        <f t="shared" si="64"/>
        <v>0.2541131621187801</v>
      </c>
      <c r="AH71" s="198">
        <f t="shared" si="64"/>
        <v>8.0357142857142863E-2</v>
      </c>
      <c r="AI71" s="199">
        <f t="shared" si="64"/>
        <v>5.6330256821829856E-2</v>
      </c>
      <c r="AJ71" s="200">
        <f t="shared" si="64"/>
        <v>0.11672351524879615</v>
      </c>
      <c r="AK71" s="201">
        <f t="shared" si="64"/>
        <v>0.11504313804173355</v>
      </c>
      <c r="AL71" s="202">
        <f t="shared" si="64"/>
        <v>6.0719301765650081E-2</v>
      </c>
      <c r="AM71" s="203">
        <f t="shared" si="64"/>
        <v>0.7776886035313002</v>
      </c>
    </row>
    <row r="72" spans="1:39">
      <c r="A72" s="23">
        <v>2012</v>
      </c>
      <c r="B72" s="17">
        <v>0.34</v>
      </c>
      <c r="C72" s="17">
        <v>0.08</v>
      </c>
      <c r="D72" s="17">
        <v>0.1</v>
      </c>
      <c r="E72" s="17">
        <v>0.14000000000000001</v>
      </c>
      <c r="F72" s="17">
        <v>0.15</v>
      </c>
      <c r="G72" s="17">
        <v>0.09</v>
      </c>
      <c r="H72" s="17">
        <v>0.1</v>
      </c>
      <c r="I72" s="25">
        <f>SUM(B72:H72)</f>
        <v>1</v>
      </c>
      <c r="K72" s="12">
        <v>2012</v>
      </c>
      <c r="L72" s="196">
        <f t="shared" si="62"/>
        <v>8.7143194149563577E-2</v>
      </c>
      <c r="M72" s="197">
        <f t="shared" si="62"/>
        <v>0.34744043406463787</v>
      </c>
      <c r="N72" s="198">
        <f t="shared" si="62"/>
        <v>9.0823307383816942E-2</v>
      </c>
      <c r="O72" s="199">
        <f t="shared" si="62"/>
        <v>0.10417551309271054</v>
      </c>
      <c r="P72" s="200">
        <f t="shared" si="62"/>
        <v>0.12941731540457654</v>
      </c>
      <c r="Q72" s="201">
        <f t="shared" si="62"/>
        <v>0.1462137296532201</v>
      </c>
      <c r="R72" s="202">
        <f t="shared" si="62"/>
        <v>9.4692144373673043E-2</v>
      </c>
      <c r="S72" s="203">
        <f t="shared" si="62"/>
        <v>1</v>
      </c>
      <c r="U72" s="12">
        <v>2012</v>
      </c>
      <c r="V72" s="196">
        <f t="shared" si="63"/>
        <v>0.10492786209480982</v>
      </c>
      <c r="W72" s="197">
        <f t="shared" si="63"/>
        <v>0.28377365561176693</v>
      </c>
      <c r="X72" s="198">
        <f t="shared" si="63"/>
        <v>9.949409780775717E-2</v>
      </c>
      <c r="Y72" s="199">
        <f t="shared" si="63"/>
        <v>9.0875023421397791E-2</v>
      </c>
      <c r="Z72" s="200">
        <f t="shared" si="63"/>
        <v>0.16160764474423833</v>
      </c>
      <c r="AA72" s="201">
        <f t="shared" si="63"/>
        <v>0.16807195053400786</v>
      </c>
      <c r="AB72" s="202">
        <f t="shared" si="63"/>
        <v>9.1249765786022105E-2</v>
      </c>
      <c r="AC72" s="203">
        <f t="shared" si="63"/>
        <v>1</v>
      </c>
      <c r="AE72" s="12">
        <v>2012</v>
      </c>
      <c r="AF72" s="196">
        <f t="shared" si="64"/>
        <v>7.2033795430818906E-2</v>
      </c>
      <c r="AG72" s="197">
        <f t="shared" si="64"/>
        <v>0.2523246497851368</v>
      </c>
      <c r="AH72" s="198">
        <f t="shared" si="64"/>
        <v>7.2519361965573334E-2</v>
      </c>
      <c r="AI72" s="199">
        <f t="shared" si="64"/>
        <v>7.7156522372478095E-2</v>
      </c>
      <c r="AJ72" s="200">
        <f t="shared" si="64"/>
        <v>0.10847556386413848</v>
      </c>
      <c r="AK72" s="201">
        <f t="shared" si="64"/>
        <v>0.11879385272767001</v>
      </c>
      <c r="AL72" s="202">
        <f t="shared" si="64"/>
        <v>7.2373692005147011E-2</v>
      </c>
      <c r="AM72" s="203">
        <f t="shared" si="64"/>
        <v>0.77372599480443804</v>
      </c>
    </row>
    <row r="73" spans="1:39">
      <c r="A73" s="23">
        <v>2013</v>
      </c>
      <c r="B73" s="17">
        <v>0.31</v>
      </c>
      <c r="C73" s="17">
        <v>0.09</v>
      </c>
      <c r="D73" s="17">
        <v>0.1</v>
      </c>
      <c r="E73" s="17">
        <v>0.14000000000000001</v>
      </c>
      <c r="F73" s="17">
        <v>0.16</v>
      </c>
      <c r="G73" s="17">
        <v>0.1</v>
      </c>
      <c r="H73" s="17">
        <v>0.1</v>
      </c>
      <c r="I73" s="25">
        <f>SUM(B73:H73)</f>
        <v>1</v>
      </c>
      <c r="K73" s="12">
        <v>2013</v>
      </c>
      <c r="L73" s="196">
        <f t="shared" si="62"/>
        <v>0.12559960841899168</v>
      </c>
      <c r="M73" s="197">
        <f t="shared" si="62"/>
        <v>0.33842388644150756</v>
      </c>
      <c r="N73" s="198">
        <f t="shared" si="62"/>
        <v>0.10416054821341166</v>
      </c>
      <c r="O73" s="199">
        <f t="shared" si="62"/>
        <v>9.1727851199216837E-2</v>
      </c>
      <c r="P73" s="200">
        <f t="shared" si="62"/>
        <v>0.11767009300048947</v>
      </c>
      <c r="Q73" s="201">
        <f t="shared" si="62"/>
        <v>0.12261380323054331</v>
      </c>
      <c r="R73" s="202">
        <f t="shared" si="62"/>
        <v>9.9853157121879588E-2</v>
      </c>
      <c r="S73" s="203">
        <f t="shared" si="62"/>
        <v>1</v>
      </c>
      <c r="U73" s="12">
        <v>2013</v>
      </c>
      <c r="V73" s="196">
        <f t="shared" si="63"/>
        <v>0.15120045731707318</v>
      </c>
      <c r="W73" s="197">
        <f t="shared" si="63"/>
        <v>0.27467606707317072</v>
      </c>
      <c r="X73" s="198">
        <f t="shared" si="63"/>
        <v>0.10213414634146341</v>
      </c>
      <c r="Y73" s="199">
        <f t="shared" si="63"/>
        <v>7.8410823170731711E-2</v>
      </c>
      <c r="Z73" s="200">
        <f t="shared" si="63"/>
        <v>0.14710365853658536</v>
      </c>
      <c r="AA73" s="201">
        <f t="shared" si="63"/>
        <v>0.14986661585365854</v>
      </c>
      <c r="AB73" s="202">
        <f t="shared" si="63"/>
        <v>9.651295731707317E-2</v>
      </c>
      <c r="AC73" s="203">
        <f t="shared" si="63"/>
        <v>1</v>
      </c>
      <c r="AE73" s="12">
        <v>2013</v>
      </c>
      <c r="AF73" s="196">
        <f t="shared" si="64"/>
        <v>0.10397836809293708</v>
      </c>
      <c r="AG73" s="197">
        <f t="shared" si="64"/>
        <v>0.24528679802708997</v>
      </c>
      <c r="AH73" s="198">
        <f t="shared" si="64"/>
        <v>8.0118174307102982E-2</v>
      </c>
      <c r="AI73" s="199">
        <f t="shared" si="64"/>
        <v>6.7524598783205228E-2</v>
      </c>
      <c r="AJ73" s="200">
        <f t="shared" si="64"/>
        <v>9.8845797551388295E-2</v>
      </c>
      <c r="AK73" s="201">
        <f t="shared" si="64"/>
        <v>0.10210059838261436</v>
      </c>
      <c r="AL73" s="202">
        <f t="shared" si="64"/>
        <v>7.6437745674870439E-2</v>
      </c>
      <c r="AM73" s="203">
        <f t="shared" si="64"/>
        <v>0.77429208081920831</v>
      </c>
    </row>
    <row r="74" spans="1:39">
      <c r="A74" s="23">
        <v>2014</v>
      </c>
      <c r="B74" s="17">
        <v>0.36</v>
      </c>
      <c r="C74" s="17">
        <v>0.08</v>
      </c>
      <c r="D74" s="17">
        <v>0.09</v>
      </c>
      <c r="E74" s="17">
        <v>0.13</v>
      </c>
      <c r="F74" s="17">
        <v>0.15</v>
      </c>
      <c r="G74" s="17">
        <v>0.09</v>
      </c>
      <c r="H74" s="17">
        <v>0.1</v>
      </c>
      <c r="I74" s="25">
        <f>SUM(B74:H74)</f>
        <v>1</v>
      </c>
      <c r="K74" s="12">
        <v>2014</v>
      </c>
      <c r="L74" s="196">
        <f t="shared" ref="L74:S75" si="65">L54/$S54</f>
        <v>0.13025828612213944</v>
      </c>
      <c r="M74" s="197">
        <f t="shared" si="65"/>
        <v>0.37123611544809743</v>
      </c>
      <c r="N74" s="198">
        <f t="shared" si="65"/>
        <v>0.11187937725833073</v>
      </c>
      <c r="O74" s="199">
        <f t="shared" si="65"/>
        <v>7.8154971673283669E-2</v>
      </c>
      <c r="P74" s="200">
        <f t="shared" si="65"/>
        <v>0.10224383280546014</v>
      </c>
      <c r="Q74" s="201">
        <f t="shared" si="65"/>
        <v>0.10514341794174065</v>
      </c>
      <c r="R74" s="202">
        <f t="shared" si="65"/>
        <v>0.10112860775304457</v>
      </c>
      <c r="S74" s="203">
        <f t="shared" si="65"/>
        <v>1</v>
      </c>
      <c r="U74" s="12">
        <v>2014</v>
      </c>
      <c r="V74" s="196">
        <f t="shared" ref="V74:AC81" si="66">V54/$AC54</f>
        <v>0.15330021291696239</v>
      </c>
      <c r="W74" s="197">
        <f t="shared" si="66"/>
        <v>0.31014904187366926</v>
      </c>
      <c r="X74" s="198">
        <f t="shared" si="66"/>
        <v>0.10166784953867991</v>
      </c>
      <c r="Y74" s="199">
        <f t="shared" si="66"/>
        <v>6.8754435770049679E-2</v>
      </c>
      <c r="Z74" s="200">
        <f t="shared" si="66"/>
        <v>0.13262952448545068</v>
      </c>
      <c r="AA74" s="201">
        <f t="shared" si="66"/>
        <v>0.13209723207948901</v>
      </c>
      <c r="AB74" s="202">
        <f t="shared" si="66"/>
        <v>0.10157913413768631</v>
      </c>
      <c r="AC74" s="203">
        <f t="shared" si="66"/>
        <v>1</v>
      </c>
      <c r="AE74" s="12">
        <v>2014</v>
      </c>
      <c r="AF74" s="196">
        <f>(L74*$S54+V74*$AC54)/$I54</f>
        <v>0.10705977196821376</v>
      </c>
      <c r="AG74" s="197">
        <f t="shared" ref="AG74:AG81" si="67">(M74*$S54+W74*$AC54)/$I54</f>
        <v>0.2722100656455142</v>
      </c>
      <c r="AH74" s="198">
        <f t="shared" ref="AH74:AH81" si="68">(N74*$S54+X74*$AC54)/$I54</f>
        <v>8.4164459288264423E-2</v>
      </c>
      <c r="AI74" s="199">
        <f t="shared" ref="AI74:AI81" si="69">(O74*$S54+Y74*$AC54)/$I54</f>
        <v>5.820568927789934E-2</v>
      </c>
      <c r="AJ74" s="200">
        <f t="shared" ref="AJ74:AJ81" si="70">(P74*$S54+Z74*$AC54)/$I54</f>
        <v>8.7227916618680179E-2</v>
      </c>
      <c r="AK74" s="201">
        <f t="shared" ref="AK74:AK81" si="71">(Q74*$S54+AA74*$AC54)/$I54</f>
        <v>8.8586893930669125E-2</v>
      </c>
      <c r="AL74" s="202">
        <f t="shared" ref="AL74:AL81" si="72">(R74*$S54+AB74*$AC54)/$I54</f>
        <v>7.8590348957733508E-2</v>
      </c>
      <c r="AM74" s="203">
        <f t="shared" ref="AM74:AM81" si="73">(S74*$S54+AC74*$AC54)/$I54</f>
        <v>0.77597604514568697</v>
      </c>
    </row>
    <row r="75" spans="1:39">
      <c r="A75" s="23">
        <v>2015</v>
      </c>
      <c r="B75" s="17">
        <v>0.36</v>
      </c>
      <c r="C75" s="17">
        <v>0.08</v>
      </c>
      <c r="D75" s="17">
        <v>0.09</v>
      </c>
      <c r="E75" s="17">
        <v>0.14000000000000001</v>
      </c>
      <c r="F75" s="17">
        <v>0.15</v>
      </c>
      <c r="G75" s="17">
        <v>0.09</v>
      </c>
      <c r="H75" s="17">
        <v>0.09</v>
      </c>
      <c r="I75" s="25">
        <f>SUM(B75:H75)</f>
        <v>1</v>
      </c>
      <c r="K75" s="12">
        <v>2015</v>
      </c>
      <c r="L75" s="196">
        <f t="shared" si="65"/>
        <v>0.14350882092817577</v>
      </c>
      <c r="M75" s="197">
        <f t="shared" si="65"/>
        <v>0.37452869710934228</v>
      </c>
      <c r="N75" s="198">
        <f t="shared" si="65"/>
        <v>0.11855886049434436</v>
      </c>
      <c r="O75" s="199">
        <f t="shared" si="65"/>
        <v>6.9822650467811762E-2</v>
      </c>
      <c r="P75" s="200">
        <f t="shared" si="65"/>
        <v>9.1793511148349854E-2</v>
      </c>
      <c r="Q75" s="201">
        <f t="shared" si="65"/>
        <v>9.5284643671740443E-2</v>
      </c>
      <c r="R75" s="202">
        <f t="shared" si="65"/>
        <v>0.10645626774659032</v>
      </c>
      <c r="S75" s="203">
        <f t="shared" si="65"/>
        <v>1</v>
      </c>
      <c r="U75" s="12">
        <v>2015</v>
      </c>
      <c r="V75" s="196">
        <f t="shared" si="66"/>
        <v>0.16069971902474395</v>
      </c>
      <c r="W75" s="197">
        <f t="shared" si="66"/>
        <v>0.32448110214810116</v>
      </c>
      <c r="X75" s="198">
        <f t="shared" si="66"/>
        <v>9.8794525514365988E-2</v>
      </c>
      <c r="Y75" s="199">
        <f t="shared" si="66"/>
        <v>6.2630290945345779E-2</v>
      </c>
      <c r="Z75" s="200">
        <f t="shared" si="66"/>
        <v>0.12226955497144928</v>
      </c>
      <c r="AA75" s="201">
        <f t="shared" si="66"/>
        <v>0.12127254599836854</v>
      </c>
      <c r="AB75" s="202">
        <f t="shared" si="66"/>
        <v>0.1098522613976253</v>
      </c>
      <c r="AC75" s="203">
        <f t="shared" si="66"/>
        <v>1</v>
      </c>
      <c r="AE75" s="12">
        <v>2015</v>
      </c>
      <c r="AF75" s="196">
        <f>(L75*$S55+V75*$AC55)/$I55</f>
        <v>0.11461480362537764</v>
      </c>
      <c r="AG75" s="197">
        <f t="shared" si="67"/>
        <v>0.27440521148036257</v>
      </c>
      <c r="AH75" s="198">
        <f t="shared" si="68"/>
        <v>8.5843089123867067E-2</v>
      </c>
      <c r="AI75" s="199">
        <f t="shared" si="69"/>
        <v>5.1713557401812688E-2</v>
      </c>
      <c r="AJ75" s="200">
        <f t="shared" si="70"/>
        <v>7.8384629909365552E-2</v>
      </c>
      <c r="AK75" s="201">
        <f t="shared" si="71"/>
        <v>7.9895203927492442E-2</v>
      </c>
      <c r="AL75" s="202">
        <f t="shared" si="72"/>
        <v>8.2585913897280969E-2</v>
      </c>
      <c r="AM75" s="203">
        <f t="shared" si="73"/>
        <v>0.7674660120845922</v>
      </c>
    </row>
    <row r="76" spans="1:39">
      <c r="A76" s="23">
        <v>2016</v>
      </c>
      <c r="B76" s="17">
        <v>0.35</v>
      </c>
      <c r="C76" s="17">
        <v>0.08</v>
      </c>
      <c r="D76" s="17">
        <v>0.09</v>
      </c>
      <c r="E76" s="17">
        <v>0.14000000000000001</v>
      </c>
      <c r="F76" s="17">
        <v>0.15</v>
      </c>
      <c r="G76" s="17">
        <v>0.09</v>
      </c>
      <c r="H76" s="17">
        <v>0.1</v>
      </c>
      <c r="I76" s="25">
        <f>SUM(B76:H76)</f>
        <v>1</v>
      </c>
      <c r="K76" s="532">
        <v>2016</v>
      </c>
      <c r="L76" s="533">
        <f t="shared" ref="L76:S76" si="74">L56/$S56</f>
        <v>0.1585715565910924</v>
      </c>
      <c r="M76" s="534">
        <f t="shared" si="74"/>
        <v>0.37292768169190788</v>
      </c>
      <c r="N76" s="535">
        <f t="shared" si="74"/>
        <v>0.13209068912985034</v>
      </c>
      <c r="O76" s="536">
        <f t="shared" si="74"/>
        <v>6.1788690742898111E-2</v>
      </c>
      <c r="P76" s="537">
        <f t="shared" si="74"/>
        <v>8.0159512501120175E-2</v>
      </c>
      <c r="Q76" s="538">
        <f t="shared" si="74"/>
        <v>8.4819428264181373E-2</v>
      </c>
      <c r="R76" s="539">
        <f t="shared" si="74"/>
        <v>0.1095976341966126</v>
      </c>
      <c r="S76" s="540">
        <f t="shared" si="74"/>
        <v>1</v>
      </c>
      <c r="U76" s="532">
        <v>2016</v>
      </c>
      <c r="V76" s="196">
        <f t="shared" si="66"/>
        <v>0.16674153265654479</v>
      </c>
      <c r="W76" s="197">
        <f t="shared" si="66"/>
        <v>0.33761566795436171</v>
      </c>
      <c r="X76" s="198">
        <f t="shared" si="66"/>
        <v>0.10151828227472824</v>
      </c>
      <c r="Y76" s="199">
        <f t="shared" si="66"/>
        <v>5.6868205911418564E-2</v>
      </c>
      <c r="Z76" s="200">
        <f t="shared" si="66"/>
        <v>0.11014284430868745</v>
      </c>
      <c r="AA76" s="201">
        <f t="shared" si="66"/>
        <v>0.11059204024795616</v>
      </c>
      <c r="AB76" s="202">
        <f t="shared" si="66"/>
        <v>0.11652142664630312</v>
      </c>
      <c r="AC76" s="203">
        <f t="shared" si="66"/>
        <v>1</v>
      </c>
      <c r="AE76" s="532">
        <v>2016</v>
      </c>
      <c r="AF76" s="196">
        <f t="shared" ref="AF76:AF81" si="75">(L76*$S56+V76*$AC56)/$I56</f>
        <v>0.12511595547309834</v>
      </c>
      <c r="AG76" s="197">
        <f t="shared" si="67"/>
        <v>0.28017161410018554</v>
      </c>
      <c r="AH76" s="198">
        <f t="shared" si="68"/>
        <v>9.4573283858998144E-2</v>
      </c>
      <c r="AI76" s="199">
        <f t="shared" si="69"/>
        <v>4.6660482374768088E-2</v>
      </c>
      <c r="AJ76" s="200">
        <f t="shared" si="70"/>
        <v>6.992115027829314E-2</v>
      </c>
      <c r="AK76" s="201">
        <f t="shared" si="71"/>
        <v>7.2448979591836729E-2</v>
      </c>
      <c r="AL76" s="202">
        <f t="shared" si="72"/>
        <v>8.6804267161410015E-2</v>
      </c>
      <c r="AM76" s="203">
        <f t="shared" si="73"/>
        <v>0.77571892393320963</v>
      </c>
    </row>
    <row r="77" spans="1:39">
      <c r="A77" s="23">
        <v>2017</v>
      </c>
      <c r="B77" s="17"/>
      <c r="C77" s="17"/>
      <c r="D77" s="17"/>
      <c r="E77" s="17"/>
      <c r="F77" s="17"/>
      <c r="G77" s="17"/>
      <c r="H77" s="17"/>
      <c r="I77" s="25"/>
      <c r="K77" s="541">
        <v>2017</v>
      </c>
      <c r="L77" s="533">
        <f t="shared" ref="L77:S81" si="76">L57/$S57</f>
        <v>0.17857142857142858</v>
      </c>
      <c r="M77" s="534">
        <f t="shared" si="76"/>
        <v>0.37225449264839355</v>
      </c>
      <c r="N77" s="535">
        <f t="shared" si="76"/>
        <v>0.13786531130876747</v>
      </c>
      <c r="O77" s="536">
        <f t="shared" si="76"/>
        <v>5.536394990016337E-2</v>
      </c>
      <c r="P77" s="537">
        <f t="shared" si="76"/>
        <v>6.9114176801597385E-2</v>
      </c>
      <c r="Q77" s="538">
        <f t="shared" si="76"/>
        <v>7.4968233799237616E-2</v>
      </c>
      <c r="R77" s="539">
        <f t="shared" si="76"/>
        <v>4.7013977128335452E-2</v>
      </c>
      <c r="S77" s="540">
        <f t="shared" si="76"/>
        <v>1</v>
      </c>
      <c r="T77" s="542"/>
      <c r="U77" s="541">
        <v>2017</v>
      </c>
      <c r="V77" s="196">
        <f t="shared" si="66"/>
        <v>0.17282346389456099</v>
      </c>
      <c r="W77" s="197">
        <f t="shared" si="66"/>
        <v>0.35465008353443472</v>
      </c>
      <c r="X77" s="198">
        <f t="shared" si="66"/>
        <v>9.7549656580657132E-2</v>
      </c>
      <c r="Y77" s="199">
        <f t="shared" si="66"/>
        <v>5.2905142008539074E-2</v>
      </c>
      <c r="Z77" s="200">
        <f t="shared" si="66"/>
        <v>9.7735288657880087E-2</v>
      </c>
      <c r="AA77" s="201">
        <f t="shared" si="66"/>
        <v>0.10024132170038982</v>
      </c>
      <c r="AB77" s="202">
        <f t="shared" si="66"/>
        <v>5.0956005197698162E-2</v>
      </c>
      <c r="AC77" s="203">
        <f t="shared" si="66"/>
        <v>1</v>
      </c>
      <c r="AD77" s="542"/>
      <c r="AE77" s="541">
        <v>2017</v>
      </c>
      <c r="AF77" s="196">
        <f t="shared" si="75"/>
        <v>0.13750978485186327</v>
      </c>
      <c r="AG77" s="197">
        <f t="shared" si="67"/>
        <v>0.28521953649453236</v>
      </c>
      <c r="AH77" s="198">
        <f t="shared" si="68"/>
        <v>9.6994567924662572E-2</v>
      </c>
      <c r="AI77" s="199">
        <f t="shared" si="69"/>
        <v>4.2460326873354368E-2</v>
      </c>
      <c r="AJ77" s="200">
        <f t="shared" si="70"/>
        <v>6.1104917332827288E-2</v>
      </c>
      <c r="AK77" s="201">
        <f t="shared" si="71"/>
        <v>6.4805370401119625E-2</v>
      </c>
      <c r="AL77" s="202">
        <f t="shared" si="72"/>
        <v>3.7597552007970207E-2</v>
      </c>
      <c r="AM77" s="203">
        <f t="shared" si="73"/>
        <v>0.77828118699148419</v>
      </c>
    </row>
    <row r="78" spans="1:39">
      <c r="A78" s="23">
        <v>2018</v>
      </c>
      <c r="B78" s="17"/>
      <c r="C78" s="17"/>
      <c r="D78" s="17"/>
      <c r="E78" s="17"/>
      <c r="F78" s="17"/>
      <c r="G78" s="17"/>
      <c r="H78" s="17"/>
      <c r="I78" s="25"/>
      <c r="K78" s="541">
        <v>2018</v>
      </c>
      <c r="L78" s="533">
        <f t="shared" si="76"/>
        <v>0.1793840177580466</v>
      </c>
      <c r="M78" s="534">
        <f t="shared" si="76"/>
        <v>0.37037550869404368</v>
      </c>
      <c r="N78" s="535">
        <f t="shared" si="76"/>
        <v>0.13743988161302256</v>
      </c>
      <c r="O78" s="536">
        <f t="shared" si="76"/>
        <v>5.5632630410654825E-2</v>
      </c>
      <c r="P78" s="537">
        <f t="shared" si="76"/>
        <v>6.9459859415464301E-2</v>
      </c>
      <c r="Q78" s="538">
        <f t="shared" si="76"/>
        <v>7.5332963374028852E-2</v>
      </c>
      <c r="R78" s="539">
        <f t="shared" si="76"/>
        <v>4.7262301146873846E-2</v>
      </c>
      <c r="S78" s="540">
        <f t="shared" si="76"/>
        <v>1</v>
      </c>
      <c r="T78" s="542"/>
      <c r="U78" s="541">
        <v>2018</v>
      </c>
      <c r="V78" s="196">
        <f t="shared" si="66"/>
        <v>0.17326732673267325</v>
      </c>
      <c r="W78" s="197">
        <f t="shared" si="66"/>
        <v>0.35185877078273864</v>
      </c>
      <c r="X78" s="198">
        <f t="shared" si="66"/>
        <v>9.7048384083691389E-2</v>
      </c>
      <c r="Y78" s="199">
        <f t="shared" si="66"/>
        <v>5.3054362039977584E-2</v>
      </c>
      <c r="Z78" s="200">
        <f t="shared" si="66"/>
        <v>9.8075845320381091E-2</v>
      </c>
      <c r="AA78" s="201">
        <f t="shared" si="66"/>
        <v>0.10050439006164767</v>
      </c>
      <c r="AB78" s="202">
        <f t="shared" si="66"/>
        <v>5.1092845133569958E-2</v>
      </c>
      <c r="AC78" s="203">
        <f t="shared" si="66"/>
        <v>1</v>
      </c>
      <c r="AD78" s="542"/>
      <c r="AE78" s="541">
        <v>2018</v>
      </c>
      <c r="AF78" s="196">
        <f t="shared" si="75"/>
        <v>0.13663767425235315</v>
      </c>
      <c r="AG78" s="197">
        <f t="shared" si="67"/>
        <v>0.28061479804599071</v>
      </c>
      <c r="AH78" s="198">
        <f t="shared" si="68"/>
        <v>9.5579649708090075E-2</v>
      </c>
      <c r="AI78" s="199">
        <f t="shared" si="69"/>
        <v>4.2201834862385323E-2</v>
      </c>
      <c r="AJ78" s="200">
        <f t="shared" si="70"/>
        <v>6.0812581913499343E-2</v>
      </c>
      <c r="AK78" s="201">
        <f t="shared" si="71"/>
        <v>6.4458477302514E-2</v>
      </c>
      <c r="AL78" s="202">
        <f t="shared" si="72"/>
        <v>3.7388299773620876E-2</v>
      </c>
      <c r="AM78" s="203">
        <f t="shared" si="73"/>
        <v>0.77040390801858694</v>
      </c>
    </row>
    <row r="79" spans="1:39">
      <c r="A79" s="23">
        <v>2019</v>
      </c>
      <c r="B79" s="17"/>
      <c r="C79" s="17"/>
      <c r="D79" s="17"/>
      <c r="E79" s="17"/>
      <c r="F79" s="17"/>
      <c r="G79" s="17"/>
      <c r="H79" s="17"/>
      <c r="I79" s="25"/>
      <c r="K79" s="541">
        <v>2019</v>
      </c>
      <c r="L79" s="533">
        <f t="shared" si="76"/>
        <v>0.1805204192265992</v>
      </c>
      <c r="M79" s="534">
        <f t="shared" si="76"/>
        <v>0.37070834839176003</v>
      </c>
      <c r="N79" s="535">
        <f t="shared" si="76"/>
        <v>0.1331767256956993</v>
      </c>
      <c r="O79" s="536">
        <f t="shared" si="76"/>
        <v>5.5972172027466571E-2</v>
      </c>
      <c r="P79" s="537">
        <f t="shared" si="76"/>
        <v>7.0789663895916149E-2</v>
      </c>
      <c r="Q79" s="538">
        <f t="shared" si="76"/>
        <v>7.5804119985543914E-2</v>
      </c>
      <c r="R79" s="539">
        <f t="shared" si="76"/>
        <v>4.7524394651246839E-2</v>
      </c>
      <c r="S79" s="540">
        <f t="shared" si="76"/>
        <v>1</v>
      </c>
      <c r="T79" s="542"/>
      <c r="U79" s="541">
        <v>2019</v>
      </c>
      <c r="V79" s="196">
        <f t="shared" si="66"/>
        <v>0.17433037754822195</v>
      </c>
      <c r="W79" s="197">
        <f t="shared" si="66"/>
        <v>0.34911783526830609</v>
      </c>
      <c r="X79" s="198">
        <f t="shared" si="66"/>
        <v>9.3975683334856938E-2</v>
      </c>
      <c r="Y79" s="199">
        <f t="shared" si="66"/>
        <v>5.3386964073498494E-2</v>
      </c>
      <c r="Z79" s="200">
        <f t="shared" si="66"/>
        <v>9.9917725569064808E-2</v>
      </c>
      <c r="AA79" s="201">
        <f t="shared" si="66"/>
        <v>0.10110613401590639</v>
      </c>
      <c r="AB79" s="202">
        <f t="shared" si="66"/>
        <v>5.1467227351677483E-2</v>
      </c>
      <c r="AC79" s="203">
        <f t="shared" si="66"/>
        <v>1</v>
      </c>
      <c r="AD79" s="542"/>
      <c r="AE79" s="541">
        <v>2019</v>
      </c>
      <c r="AF79" s="196">
        <f t="shared" si="75"/>
        <v>0.13748049467824952</v>
      </c>
      <c r="AG79" s="197">
        <f t="shared" si="67"/>
        <v>0.28006148543214476</v>
      </c>
      <c r="AH79" s="198">
        <f t="shared" si="68"/>
        <v>9.2600787199850931E-2</v>
      </c>
      <c r="AI79" s="199">
        <f t="shared" si="69"/>
        <v>4.2457554090877335E-2</v>
      </c>
      <c r="AJ79" s="200">
        <f t="shared" si="70"/>
        <v>6.1951230873139716E-2</v>
      </c>
      <c r="AK79" s="201">
        <f t="shared" si="71"/>
        <v>6.4839182989030436E-2</v>
      </c>
      <c r="AL79" s="202">
        <f t="shared" si="72"/>
        <v>3.7613247315834826E-2</v>
      </c>
      <c r="AM79" s="203">
        <f t="shared" si="73"/>
        <v>0.7703146470410136</v>
      </c>
    </row>
    <row r="80" spans="1:39">
      <c r="A80" s="23">
        <v>2020</v>
      </c>
      <c r="B80" s="17"/>
      <c r="C80" s="17"/>
      <c r="D80" s="17"/>
      <c r="E80" s="17"/>
      <c r="F80" s="17"/>
      <c r="G80" s="17"/>
      <c r="H80" s="17"/>
      <c r="I80" s="25"/>
      <c r="K80" s="541">
        <v>2020</v>
      </c>
      <c r="L80" s="533">
        <f t="shared" si="76"/>
        <v>0.17653154273397995</v>
      </c>
      <c r="M80" s="534">
        <f t="shared" si="76"/>
        <v>0.38369394014755864</v>
      </c>
      <c r="N80" s="535">
        <f t="shared" si="76"/>
        <v>0.13131061924894305</v>
      </c>
      <c r="O80" s="536">
        <f t="shared" si="76"/>
        <v>5.4712758020392938E-2</v>
      </c>
      <c r="P80" s="537">
        <f t="shared" si="76"/>
        <v>6.9095581530299266E-2</v>
      </c>
      <c r="Q80" s="538">
        <f t="shared" si="76"/>
        <v>7.4110917682168612E-2</v>
      </c>
      <c r="R80" s="539">
        <f t="shared" si="76"/>
        <v>4.6505844317333997E-2</v>
      </c>
      <c r="S80" s="540">
        <f t="shared" si="76"/>
        <v>1</v>
      </c>
      <c r="T80" s="542"/>
      <c r="U80" s="541">
        <v>2020</v>
      </c>
      <c r="V80" s="196">
        <f t="shared" si="66"/>
        <v>0.17048625792811839</v>
      </c>
      <c r="W80" s="197">
        <f t="shared" si="66"/>
        <v>0.36194503171247355</v>
      </c>
      <c r="X80" s="198">
        <f t="shared" si="66"/>
        <v>9.2684989429175482E-2</v>
      </c>
      <c r="Y80" s="199">
        <f t="shared" si="66"/>
        <v>5.2177589852008453E-2</v>
      </c>
      <c r="Z80" s="200">
        <f t="shared" si="66"/>
        <v>9.7505285412262152E-2</v>
      </c>
      <c r="AA80" s="201">
        <f t="shared" si="66"/>
        <v>9.8858350951374213E-2</v>
      </c>
      <c r="AB80" s="202">
        <f t="shared" si="66"/>
        <v>5.0317124735729385E-2</v>
      </c>
      <c r="AC80" s="203">
        <f t="shared" si="66"/>
        <v>1</v>
      </c>
      <c r="AD80" s="542"/>
      <c r="AE80" s="541">
        <v>2020</v>
      </c>
      <c r="AF80" s="196">
        <f t="shared" si="75"/>
        <v>0.13443739823463879</v>
      </c>
      <c r="AG80" s="197">
        <f t="shared" si="67"/>
        <v>0.29002056731510839</v>
      </c>
      <c r="AH80" s="198">
        <f t="shared" si="68"/>
        <v>9.1353157939840599E-2</v>
      </c>
      <c r="AI80" s="199">
        <f t="shared" si="69"/>
        <v>4.1498843088525153E-2</v>
      </c>
      <c r="AJ80" s="200">
        <f t="shared" si="70"/>
        <v>6.0416488130945238E-2</v>
      </c>
      <c r="AK80" s="201">
        <f t="shared" si="71"/>
        <v>6.3351615391207469E-2</v>
      </c>
      <c r="AL80" s="202">
        <f t="shared" si="72"/>
        <v>3.6785500042848571E-2</v>
      </c>
      <c r="AM80" s="203">
        <f t="shared" si="73"/>
        <v>0.77022452652326678</v>
      </c>
    </row>
    <row r="81" spans="1:39">
      <c r="A81" s="23">
        <v>2021</v>
      </c>
      <c r="B81" s="17"/>
      <c r="C81" s="17"/>
      <c r="D81" s="17"/>
      <c r="E81" s="17"/>
      <c r="F81" s="17"/>
      <c r="G81" s="17"/>
      <c r="H81" s="17"/>
      <c r="I81" s="25"/>
      <c r="K81" s="541">
        <v>2021</v>
      </c>
      <c r="L81" s="533">
        <f t="shared" si="76"/>
        <v>0.17542539403821231</v>
      </c>
      <c r="M81" s="534">
        <f t="shared" si="76"/>
        <v>0.38918851122538567</v>
      </c>
      <c r="N81" s="535">
        <f t="shared" si="76"/>
        <v>0.12847527070529705</v>
      </c>
      <c r="O81" s="536">
        <f t="shared" si="76"/>
        <v>5.4391906016137796E-2</v>
      </c>
      <c r="P81" s="537">
        <f t="shared" si="76"/>
        <v>6.9024624775283247E-2</v>
      </c>
      <c r="Q81" s="538">
        <f t="shared" si="76"/>
        <v>7.3665287010326513E-2</v>
      </c>
      <c r="R81" s="539">
        <f t="shared" si="76"/>
        <v>4.6197583511016348E-2</v>
      </c>
      <c r="S81" s="540">
        <f t="shared" si="76"/>
        <v>1</v>
      </c>
      <c r="T81" s="542"/>
      <c r="U81" s="541">
        <v>2021</v>
      </c>
      <c r="V81" s="196">
        <f t="shared" si="66"/>
        <v>0.17046679379819252</v>
      </c>
      <c r="W81" s="197">
        <f t="shared" si="66"/>
        <v>0.36862615040212254</v>
      </c>
      <c r="X81" s="198">
        <f t="shared" si="66"/>
        <v>9.1203051156620515E-2</v>
      </c>
      <c r="Y81" s="199">
        <f t="shared" si="66"/>
        <v>5.2234474753337201E-2</v>
      </c>
      <c r="Z81" s="200">
        <f t="shared" si="66"/>
        <v>9.8084735925710972E-2</v>
      </c>
      <c r="AA81" s="201">
        <f t="shared" si="66"/>
        <v>9.8913854572589333E-2</v>
      </c>
      <c r="AB81" s="202">
        <f t="shared" si="66"/>
        <v>5.0327501865516953E-2</v>
      </c>
      <c r="AC81" s="203">
        <f t="shared" si="66"/>
        <v>1</v>
      </c>
      <c r="AD81" s="542"/>
      <c r="AE81" s="541">
        <v>2021</v>
      </c>
      <c r="AF81" s="196">
        <f t="shared" si="75"/>
        <v>0.13171810807963763</v>
      </c>
      <c r="AG81" s="197">
        <f t="shared" si="67"/>
        <v>0.28979247866849256</v>
      </c>
      <c r="AH81" s="198">
        <f t="shared" si="68"/>
        <v>8.7917412830506692E-2</v>
      </c>
      <c r="AI81" s="199">
        <f t="shared" si="69"/>
        <v>4.0682608237648792E-2</v>
      </c>
      <c r="AJ81" s="200">
        <f t="shared" si="70"/>
        <v>5.9707152638786475E-2</v>
      </c>
      <c r="AK81" s="201">
        <f t="shared" si="71"/>
        <v>6.225639945222796E-2</v>
      </c>
      <c r="AL81" s="202">
        <f t="shared" si="72"/>
        <v>3.6068682186874541E-2</v>
      </c>
      <c r="AM81" s="203">
        <f t="shared" si="73"/>
        <v>0.75803223427788902</v>
      </c>
    </row>
    <row r="83" spans="1:39" s="98" customFormat="1">
      <c r="A83" s="195" t="s">
        <v>579</v>
      </c>
    </row>
    <row r="84" spans="1:39">
      <c r="A84" t="s">
        <v>580</v>
      </c>
      <c r="B84" s="17"/>
      <c r="C84" s="17"/>
      <c r="D84" s="17"/>
      <c r="E84" s="17"/>
      <c r="F84" s="17"/>
      <c r="G84" s="17"/>
      <c r="H84" s="17"/>
      <c r="I84" s="17"/>
    </row>
    <row r="85" spans="1:39">
      <c r="A85" t="s">
        <v>581</v>
      </c>
    </row>
    <row r="86" spans="1:39">
      <c r="B86" t="s">
        <v>582</v>
      </c>
    </row>
    <row r="87" spans="1:39">
      <c r="B87" t="s">
        <v>583</v>
      </c>
    </row>
    <row r="88" spans="1:39">
      <c r="B88" s="17" t="s">
        <v>584</v>
      </c>
      <c r="C88" s="17"/>
      <c r="D88" s="17"/>
      <c r="E88" s="17"/>
      <c r="F88" s="17"/>
      <c r="G88" s="17"/>
      <c r="H88" s="17"/>
      <c r="I88" s="17"/>
    </row>
    <row r="89" spans="1:39">
      <c r="B89" s="17"/>
      <c r="C89" s="17"/>
      <c r="D89" s="17"/>
      <c r="E89" s="17"/>
      <c r="F89" s="17"/>
      <c r="G89" s="17"/>
      <c r="H89" s="17"/>
      <c r="I89" s="17"/>
      <c r="K89" s="54" t="s">
        <v>566</v>
      </c>
      <c r="U89" s="54" t="s">
        <v>567</v>
      </c>
    </row>
    <row r="90" spans="1:39" ht="25.5">
      <c r="B90" s="17"/>
      <c r="C90" s="17"/>
      <c r="D90" s="17"/>
      <c r="E90" s="17"/>
      <c r="F90" s="17"/>
      <c r="G90" s="17"/>
      <c r="H90" s="17"/>
      <c r="I90" t="s">
        <v>570</v>
      </c>
      <c r="K90" s="2" t="s">
        <v>496</v>
      </c>
      <c r="L90" s="170" t="s">
        <v>571</v>
      </c>
      <c r="M90" s="171" t="s">
        <v>572</v>
      </c>
      <c r="N90" s="172" t="s">
        <v>573</v>
      </c>
      <c r="O90" s="173" t="s">
        <v>574</v>
      </c>
      <c r="P90" s="174" t="s">
        <v>575</v>
      </c>
      <c r="Q90" s="175" t="s">
        <v>576</v>
      </c>
      <c r="R90" s="176" t="s">
        <v>577</v>
      </c>
      <c r="S90" s="177" t="s">
        <v>500</v>
      </c>
      <c r="U90" s="2" t="s">
        <v>496</v>
      </c>
      <c r="V90" s="170" t="s">
        <v>571</v>
      </c>
      <c r="W90" s="171" t="s">
        <v>572</v>
      </c>
      <c r="X90" s="172" t="s">
        <v>573</v>
      </c>
      <c r="Y90" s="173" t="s">
        <v>574</v>
      </c>
      <c r="Z90" s="174" t="s">
        <v>575</v>
      </c>
      <c r="AA90" s="175" t="s">
        <v>576</v>
      </c>
      <c r="AB90" s="176" t="s">
        <v>577</v>
      </c>
      <c r="AC90" s="177" t="s">
        <v>500</v>
      </c>
    </row>
    <row r="91" spans="1:39">
      <c r="B91" s="17"/>
      <c r="C91" s="17"/>
      <c r="D91" s="17"/>
      <c r="E91" s="17"/>
      <c r="F91" s="17"/>
      <c r="G91" s="17"/>
      <c r="H91" s="17"/>
      <c r="I91">
        <f t="shared" ref="I91:I97" si="77">I6-I46</f>
        <v>18554</v>
      </c>
      <c r="K91" s="12">
        <v>2006</v>
      </c>
      <c r="L91" s="196">
        <f t="shared" ref="L91:S98" si="78">(L6-L46)/($S6-$S46)</f>
        <v>0.63892617449664435</v>
      </c>
      <c r="M91" s="197">
        <f t="shared" si="78"/>
        <v>0</v>
      </c>
      <c r="N91" s="198">
        <f t="shared" si="78"/>
        <v>0.36009762050030508</v>
      </c>
      <c r="O91" s="199">
        <f t="shared" si="78"/>
        <v>0</v>
      </c>
      <c r="P91" s="200">
        <f t="shared" si="78"/>
        <v>0</v>
      </c>
      <c r="Q91" s="201">
        <f t="shared" si="78"/>
        <v>0</v>
      </c>
      <c r="R91" s="202">
        <f t="shared" si="78"/>
        <v>9.7620500305064064E-4</v>
      </c>
      <c r="S91" s="203">
        <f t="shared" si="78"/>
        <v>1</v>
      </c>
      <c r="U91" s="12">
        <v>2006</v>
      </c>
      <c r="V91" s="196">
        <f t="shared" ref="V91:AC98" si="79">(V6-V46)/($AC6-$AC46)</f>
        <v>0.56168300653594772</v>
      </c>
      <c r="W91" s="197">
        <f t="shared" si="79"/>
        <v>0</v>
      </c>
      <c r="X91" s="198">
        <f t="shared" si="79"/>
        <v>0.43341503267973858</v>
      </c>
      <c r="Y91" s="199">
        <f t="shared" si="79"/>
        <v>0</v>
      </c>
      <c r="Z91" s="200">
        <f t="shared" si="79"/>
        <v>0</v>
      </c>
      <c r="AA91" s="201">
        <f t="shared" si="79"/>
        <v>0</v>
      </c>
      <c r="AB91" s="202">
        <f t="shared" si="79"/>
        <v>4.5955882352941178E-3</v>
      </c>
      <c r="AC91" s="203">
        <f t="shared" si="79"/>
        <v>1</v>
      </c>
    </row>
    <row r="92" spans="1:39">
      <c r="B92" s="17"/>
      <c r="C92" s="17"/>
      <c r="D92" s="17"/>
      <c r="E92" s="17"/>
      <c r="F92" s="17"/>
      <c r="G92" s="17"/>
      <c r="H92" s="17"/>
      <c r="I92">
        <f t="shared" si="77"/>
        <v>18295</v>
      </c>
      <c r="K92" s="12">
        <v>2007</v>
      </c>
      <c r="L92" s="196">
        <f t="shared" si="78"/>
        <v>0.64991377186499133</v>
      </c>
      <c r="M92" s="197">
        <f t="shared" si="78"/>
        <v>0</v>
      </c>
      <c r="N92" s="198">
        <f t="shared" si="78"/>
        <v>0.34897758068489776</v>
      </c>
      <c r="O92" s="199">
        <f t="shared" si="78"/>
        <v>0</v>
      </c>
      <c r="P92" s="200">
        <f t="shared" si="78"/>
        <v>0</v>
      </c>
      <c r="Q92" s="201">
        <f t="shared" si="78"/>
        <v>0</v>
      </c>
      <c r="R92" s="202">
        <f t="shared" si="78"/>
        <v>1.1086474501108647E-3</v>
      </c>
      <c r="S92" s="203">
        <f t="shared" si="78"/>
        <v>1</v>
      </c>
      <c r="U92" s="12">
        <v>2007</v>
      </c>
      <c r="V92" s="196">
        <f t="shared" si="79"/>
        <v>0.5744946863929985</v>
      </c>
      <c r="W92" s="197">
        <f t="shared" si="79"/>
        <v>0</v>
      </c>
      <c r="X92" s="198">
        <f t="shared" si="79"/>
        <v>0.42060846009585329</v>
      </c>
      <c r="Y92" s="199">
        <f t="shared" si="79"/>
        <v>0</v>
      </c>
      <c r="Z92" s="200">
        <f t="shared" si="79"/>
        <v>0</v>
      </c>
      <c r="AA92" s="201">
        <f t="shared" si="79"/>
        <v>0</v>
      </c>
      <c r="AB92" s="202">
        <f t="shared" si="79"/>
        <v>4.8968535111481555E-3</v>
      </c>
      <c r="AC92" s="203">
        <f t="shared" si="79"/>
        <v>1</v>
      </c>
    </row>
    <row r="93" spans="1:39">
      <c r="B93" s="17"/>
      <c r="C93" s="17"/>
      <c r="D93" s="17"/>
      <c r="E93" s="17"/>
      <c r="F93" s="17"/>
      <c r="G93" s="17"/>
      <c r="H93" s="17"/>
      <c r="I93">
        <f t="shared" si="77"/>
        <v>18749</v>
      </c>
      <c r="K93" s="12">
        <v>2008</v>
      </c>
      <c r="L93" s="196">
        <f t="shared" si="78"/>
        <v>0.65550807217473883</v>
      </c>
      <c r="M93" s="197">
        <f t="shared" si="78"/>
        <v>0</v>
      </c>
      <c r="N93" s="198">
        <f t="shared" si="78"/>
        <v>0.34330484330484329</v>
      </c>
      <c r="O93" s="199">
        <f t="shared" si="78"/>
        <v>0</v>
      </c>
      <c r="P93" s="200">
        <f t="shared" si="78"/>
        <v>0</v>
      </c>
      <c r="Q93" s="201">
        <f t="shared" si="78"/>
        <v>0</v>
      </c>
      <c r="R93" s="202">
        <f t="shared" si="78"/>
        <v>1.1870845204178537E-3</v>
      </c>
      <c r="S93" s="203">
        <f t="shared" si="78"/>
        <v>1</v>
      </c>
      <c r="U93" s="12">
        <v>2008</v>
      </c>
      <c r="V93" s="196">
        <f t="shared" si="79"/>
        <v>0.58466877615596613</v>
      </c>
      <c r="W93" s="197">
        <f t="shared" si="79"/>
        <v>0</v>
      </c>
      <c r="X93" s="198">
        <f t="shared" si="79"/>
        <v>0.41012554863733797</v>
      </c>
      <c r="Y93" s="199">
        <f t="shared" si="79"/>
        <v>0</v>
      </c>
      <c r="Z93" s="200">
        <f t="shared" si="79"/>
        <v>0</v>
      </c>
      <c r="AA93" s="201">
        <f t="shared" si="79"/>
        <v>0</v>
      </c>
      <c r="AB93" s="202">
        <f t="shared" si="79"/>
        <v>5.3077472695723183E-3</v>
      </c>
      <c r="AC93" s="203">
        <f t="shared" si="79"/>
        <v>1</v>
      </c>
    </row>
    <row r="94" spans="1:39">
      <c r="B94" s="17"/>
      <c r="C94" s="17"/>
      <c r="D94" s="17"/>
      <c r="E94" s="17"/>
      <c r="F94" s="17"/>
      <c r="G94" s="17"/>
      <c r="H94" s="17"/>
      <c r="I94">
        <f t="shared" si="77"/>
        <v>18759</v>
      </c>
      <c r="K94" s="12">
        <v>2009</v>
      </c>
      <c r="L94" s="196">
        <f t="shared" si="78"/>
        <v>0.64706583969465647</v>
      </c>
      <c r="M94" s="531">
        <f t="shared" si="78"/>
        <v>0</v>
      </c>
      <c r="N94" s="198">
        <f t="shared" si="78"/>
        <v>0.35245706106870228</v>
      </c>
      <c r="O94" s="199">
        <f t="shared" si="78"/>
        <v>0</v>
      </c>
      <c r="P94" s="200">
        <f t="shared" si="78"/>
        <v>0</v>
      </c>
      <c r="Q94" s="201">
        <f t="shared" si="78"/>
        <v>0</v>
      </c>
      <c r="R94" s="202">
        <f t="shared" si="78"/>
        <v>7.1564885496183206E-4</v>
      </c>
      <c r="S94" s="203">
        <f t="shared" si="78"/>
        <v>1</v>
      </c>
      <c r="U94" s="12">
        <v>2009</v>
      </c>
      <c r="V94" s="196">
        <f t="shared" si="79"/>
        <v>0.57882328823288232</v>
      </c>
      <c r="W94" s="197">
        <f t="shared" si="79"/>
        <v>0</v>
      </c>
      <c r="X94" s="198">
        <f t="shared" si="79"/>
        <v>0.41656416564165644</v>
      </c>
      <c r="Y94" s="199">
        <f t="shared" si="79"/>
        <v>0</v>
      </c>
      <c r="Z94" s="200">
        <f t="shared" si="79"/>
        <v>0</v>
      </c>
      <c r="AA94" s="201">
        <f t="shared" si="79"/>
        <v>0</v>
      </c>
      <c r="AB94" s="202">
        <f t="shared" si="79"/>
        <v>4.6125461254612546E-3</v>
      </c>
      <c r="AC94" s="203">
        <f t="shared" si="79"/>
        <v>1</v>
      </c>
    </row>
    <row r="95" spans="1:39">
      <c r="B95" s="17"/>
      <c r="C95" s="17"/>
      <c r="D95" s="17"/>
      <c r="E95" s="17"/>
      <c r="F95" s="17"/>
      <c r="G95" s="17"/>
      <c r="H95" s="17"/>
      <c r="I95">
        <f t="shared" si="77"/>
        <v>19052</v>
      </c>
      <c r="K95" s="12">
        <v>2010</v>
      </c>
      <c r="L95" s="196">
        <f t="shared" si="78"/>
        <v>0.63837594696969702</v>
      </c>
      <c r="M95" s="197">
        <f t="shared" si="78"/>
        <v>0</v>
      </c>
      <c r="N95" s="198">
        <f t="shared" si="78"/>
        <v>0.36115056818181818</v>
      </c>
      <c r="O95" s="199">
        <f t="shared" si="78"/>
        <v>0</v>
      </c>
      <c r="P95" s="200">
        <f t="shared" si="78"/>
        <v>0</v>
      </c>
      <c r="Q95" s="201">
        <f t="shared" si="78"/>
        <v>0</v>
      </c>
      <c r="R95" s="202">
        <f t="shared" si="78"/>
        <v>3.5511363636363637E-4</v>
      </c>
      <c r="S95" s="203">
        <f t="shared" si="78"/>
        <v>1</v>
      </c>
      <c r="U95" s="12">
        <v>2010</v>
      </c>
      <c r="V95" s="196">
        <f t="shared" si="79"/>
        <v>0.60426305353602117</v>
      </c>
      <c r="W95" s="197">
        <f t="shared" si="79"/>
        <v>0</v>
      </c>
      <c r="X95" s="198">
        <f t="shared" si="79"/>
        <v>0.43126239259748844</v>
      </c>
      <c r="Y95" s="199">
        <f t="shared" si="79"/>
        <v>0</v>
      </c>
      <c r="Z95" s="200">
        <f t="shared" si="79"/>
        <v>0</v>
      </c>
      <c r="AA95" s="201">
        <f t="shared" si="79"/>
        <v>-4.9570389953734299E-3</v>
      </c>
      <c r="AB95" s="202">
        <f t="shared" si="79"/>
        <v>4.1308658294778589E-3</v>
      </c>
      <c r="AC95" s="203">
        <f t="shared" si="79"/>
        <v>1</v>
      </c>
    </row>
    <row r="96" spans="1:39">
      <c r="B96" s="17"/>
      <c r="C96" s="17"/>
      <c r="D96" s="17"/>
      <c r="E96" s="17"/>
      <c r="F96" s="17"/>
      <c r="G96" s="17"/>
      <c r="H96" s="17"/>
      <c r="I96">
        <f t="shared" si="77"/>
        <v>18954</v>
      </c>
      <c r="K96" s="12">
        <v>2011</v>
      </c>
      <c r="L96" s="196">
        <f t="shared" si="78"/>
        <v>0.62179868969624774</v>
      </c>
      <c r="M96" s="197">
        <f t="shared" si="78"/>
        <v>0</v>
      </c>
      <c r="N96" s="198">
        <f t="shared" si="78"/>
        <v>0.37796307325789158</v>
      </c>
      <c r="O96" s="199">
        <f t="shared" si="78"/>
        <v>0</v>
      </c>
      <c r="P96" s="200">
        <f t="shared" si="78"/>
        <v>0</v>
      </c>
      <c r="Q96" s="201">
        <f t="shared" si="78"/>
        <v>0</v>
      </c>
      <c r="R96" s="202">
        <f t="shared" si="78"/>
        <v>2.3823704586063132E-4</v>
      </c>
      <c r="S96" s="203">
        <f t="shared" si="78"/>
        <v>1</v>
      </c>
      <c r="U96" s="12">
        <v>2011</v>
      </c>
      <c r="V96" s="196">
        <f t="shared" si="79"/>
        <v>0.5986029889538661</v>
      </c>
      <c r="W96" s="197">
        <f t="shared" si="79"/>
        <v>0</v>
      </c>
      <c r="X96" s="198">
        <f t="shared" si="79"/>
        <v>0.397498375568551</v>
      </c>
      <c r="Y96" s="199">
        <f t="shared" si="79"/>
        <v>0.14619883040935672</v>
      </c>
      <c r="Z96" s="200">
        <f t="shared" si="79"/>
        <v>0</v>
      </c>
      <c r="AA96" s="201">
        <f t="shared" si="79"/>
        <v>0</v>
      </c>
      <c r="AB96" s="202">
        <f t="shared" si="79"/>
        <v>3.8986354775828458E-3</v>
      </c>
      <c r="AC96" s="203">
        <f t="shared" si="79"/>
        <v>1</v>
      </c>
    </row>
    <row r="97" spans="2:29">
      <c r="B97" s="17"/>
      <c r="C97" s="17"/>
      <c r="D97" s="17"/>
      <c r="E97" s="17"/>
      <c r="F97" s="17"/>
      <c r="G97" s="17"/>
      <c r="H97" s="17"/>
      <c r="I97">
        <f t="shared" si="77"/>
        <v>18743</v>
      </c>
      <c r="K97" s="12">
        <v>2012</v>
      </c>
      <c r="L97" s="196">
        <f t="shared" si="78"/>
        <v>0.60782384057079597</v>
      </c>
      <c r="M97" s="197">
        <f t="shared" si="78"/>
        <v>0</v>
      </c>
      <c r="N97" s="198">
        <f t="shared" si="78"/>
        <v>0.39217615942920409</v>
      </c>
      <c r="O97" s="199">
        <f t="shared" si="78"/>
        <v>0</v>
      </c>
      <c r="P97" s="200">
        <f t="shared" si="78"/>
        <v>0</v>
      </c>
      <c r="Q97" s="201">
        <f t="shared" si="78"/>
        <v>0</v>
      </c>
      <c r="R97" s="202">
        <f t="shared" si="78"/>
        <v>1.2301636117603641E-4</v>
      </c>
      <c r="S97" s="203">
        <f t="shared" si="78"/>
        <v>1</v>
      </c>
      <c r="U97" s="12">
        <v>2012</v>
      </c>
      <c r="V97" s="196">
        <f t="shared" si="79"/>
        <v>0.59496124031007747</v>
      </c>
      <c r="W97" s="197">
        <f t="shared" si="79"/>
        <v>0</v>
      </c>
      <c r="X97" s="198">
        <f t="shared" si="79"/>
        <v>0.40164728682170542</v>
      </c>
      <c r="Y97" s="199">
        <f t="shared" si="79"/>
        <v>0</v>
      </c>
      <c r="Z97" s="200">
        <f t="shared" si="79"/>
        <v>0</v>
      </c>
      <c r="AA97" s="201">
        <f t="shared" si="79"/>
        <v>0</v>
      </c>
      <c r="AB97" s="202">
        <f t="shared" si="79"/>
        <v>3.3914728682170542E-3</v>
      </c>
      <c r="AC97" s="203">
        <f t="shared" si="79"/>
        <v>1</v>
      </c>
    </row>
    <row r="98" spans="2:29">
      <c r="B98" s="17"/>
      <c r="C98" s="17"/>
      <c r="D98" s="17"/>
      <c r="E98" s="17"/>
      <c r="F98" s="17"/>
      <c r="G98" s="17"/>
      <c r="H98" s="17"/>
      <c r="I98">
        <f>I17-I53</f>
        <v>20051</v>
      </c>
      <c r="K98" s="12">
        <v>2013</v>
      </c>
      <c r="L98" s="196">
        <f t="shared" si="78"/>
        <v>0.58754187864499319</v>
      </c>
      <c r="M98" s="197">
        <f t="shared" si="78"/>
        <v>0</v>
      </c>
      <c r="N98" s="198">
        <f t="shared" si="78"/>
        <v>0.41220995160689911</v>
      </c>
      <c r="O98" s="199">
        <f t="shared" si="78"/>
        <v>0</v>
      </c>
      <c r="P98" s="200">
        <f t="shared" si="78"/>
        <v>0</v>
      </c>
      <c r="Q98" s="201">
        <f t="shared" si="78"/>
        <v>0</v>
      </c>
      <c r="R98" s="202">
        <f t="shared" si="78"/>
        <v>2.4816974810770568E-4</v>
      </c>
      <c r="S98" s="203">
        <f t="shared" si="78"/>
        <v>1</v>
      </c>
      <c r="U98" s="12">
        <v>2013</v>
      </c>
      <c r="V98" s="196">
        <f t="shared" si="79"/>
        <v>0.57269155206286837</v>
      </c>
      <c r="W98" s="197">
        <f t="shared" si="79"/>
        <v>0</v>
      </c>
      <c r="X98" s="198">
        <f t="shared" si="79"/>
        <v>0.42387033398821217</v>
      </c>
      <c r="Y98" s="199">
        <f t="shared" si="79"/>
        <v>0</v>
      </c>
      <c r="Z98" s="200">
        <f t="shared" si="79"/>
        <v>0</v>
      </c>
      <c r="AA98" s="201">
        <f t="shared" si="79"/>
        <v>0</v>
      </c>
      <c r="AB98" s="202">
        <f t="shared" si="79"/>
        <v>3.6018336607727569E-3</v>
      </c>
      <c r="AC98" s="203">
        <f t="shared" si="79"/>
        <v>1</v>
      </c>
    </row>
    <row r="99" spans="2:29">
      <c r="B99" s="17"/>
      <c r="C99" s="17"/>
      <c r="D99" s="17"/>
      <c r="E99" s="17"/>
      <c r="F99" s="17"/>
      <c r="G99" s="17"/>
      <c r="H99" s="17"/>
      <c r="I99">
        <f>I18-I54</f>
        <v>17378</v>
      </c>
      <c r="K99" s="12">
        <v>2014</v>
      </c>
      <c r="L99" s="196">
        <f t="shared" ref="L99:S106" si="80">(L14-L54)/($S14-$S54)</f>
        <v>0.56315336366990532</v>
      </c>
      <c r="M99" s="197">
        <f t="shared" si="80"/>
        <v>0</v>
      </c>
      <c r="N99" s="198">
        <f t="shared" si="80"/>
        <v>0.43623170581724263</v>
      </c>
      <c r="O99" s="199">
        <f t="shared" si="80"/>
        <v>0</v>
      </c>
      <c r="P99" s="200">
        <f t="shared" si="80"/>
        <v>0</v>
      </c>
      <c r="Q99" s="201">
        <f t="shared" si="80"/>
        <v>0</v>
      </c>
      <c r="R99" s="202">
        <f t="shared" si="80"/>
        <v>4.9194441028163822E-4</v>
      </c>
      <c r="S99" s="203">
        <f t="shared" si="80"/>
        <v>1</v>
      </c>
      <c r="U99" s="12">
        <v>2014</v>
      </c>
      <c r="V99" s="196">
        <f t="shared" ref="V99:AC106" si="81">(V14-V54)/($AC14-$AC54)</f>
        <v>0.55009017871782262</v>
      </c>
      <c r="W99" s="197">
        <f t="shared" si="81"/>
        <v>0</v>
      </c>
      <c r="X99" s="198">
        <f t="shared" si="81"/>
        <v>0.44597474995900965</v>
      </c>
      <c r="Y99" s="199">
        <f t="shared" si="81"/>
        <v>0</v>
      </c>
      <c r="Z99" s="200">
        <f t="shared" si="81"/>
        <v>0</v>
      </c>
      <c r="AA99" s="201">
        <f t="shared" si="81"/>
        <v>0</v>
      </c>
      <c r="AB99" s="202">
        <f t="shared" si="81"/>
        <v>3.7711100180357437E-3</v>
      </c>
      <c r="AC99" s="203">
        <f t="shared" si="81"/>
        <v>1</v>
      </c>
    </row>
    <row r="100" spans="2:29">
      <c r="B100" s="17"/>
      <c r="C100" s="17"/>
      <c r="D100" s="17"/>
      <c r="E100" s="17"/>
      <c r="F100" s="17"/>
      <c r="G100" s="17"/>
      <c r="H100" s="17"/>
      <c r="I100">
        <f>I19-I55</f>
        <v>18657</v>
      </c>
      <c r="K100" s="12">
        <v>2015</v>
      </c>
      <c r="L100" s="196">
        <f t="shared" si="80"/>
        <v>0.53622067543181229</v>
      </c>
      <c r="M100" s="197">
        <f t="shared" si="80"/>
        <v>0</v>
      </c>
      <c r="N100" s="198">
        <f t="shared" si="80"/>
        <v>0.46261923176076308</v>
      </c>
      <c r="O100" s="199">
        <f t="shared" si="80"/>
        <v>0</v>
      </c>
      <c r="P100" s="200">
        <f t="shared" si="80"/>
        <v>0</v>
      </c>
      <c r="Q100" s="201">
        <f t="shared" si="80"/>
        <v>0</v>
      </c>
      <c r="R100" s="202">
        <f t="shared" si="80"/>
        <v>1.1600928074245939E-3</v>
      </c>
      <c r="S100" s="203">
        <f t="shared" si="80"/>
        <v>1</v>
      </c>
      <c r="U100" s="12">
        <v>2015</v>
      </c>
      <c r="V100" s="196">
        <f t="shared" si="81"/>
        <v>0.52871820784908208</v>
      </c>
      <c r="W100" s="197">
        <f t="shared" si="81"/>
        <v>0</v>
      </c>
      <c r="X100" s="198">
        <f t="shared" si="81"/>
        <v>0.46757621694458479</v>
      </c>
      <c r="Y100" s="199">
        <f t="shared" si="81"/>
        <v>0</v>
      </c>
      <c r="Z100" s="200">
        <f t="shared" si="81"/>
        <v>0</v>
      </c>
      <c r="AA100" s="201">
        <f t="shared" si="81"/>
        <v>0</v>
      </c>
      <c r="AB100" s="202">
        <f t="shared" si="81"/>
        <v>3.8740104429846726E-3</v>
      </c>
      <c r="AC100" s="203">
        <f t="shared" si="81"/>
        <v>1</v>
      </c>
    </row>
    <row r="101" spans="2:29">
      <c r="B101" s="17"/>
      <c r="C101" s="17"/>
      <c r="D101" s="17"/>
      <c r="E101" s="17"/>
      <c r="F101" s="17"/>
      <c r="G101" s="17"/>
      <c r="H101" s="17"/>
      <c r="I101">
        <f>I21-I56</f>
        <v>23601</v>
      </c>
      <c r="K101" s="12">
        <v>2016</v>
      </c>
      <c r="L101" s="196">
        <f t="shared" si="80"/>
        <v>0.50997429935136462</v>
      </c>
      <c r="M101" s="197">
        <f t="shared" si="80"/>
        <v>0</v>
      </c>
      <c r="N101" s="198">
        <f t="shared" si="80"/>
        <v>0.48770040386733571</v>
      </c>
      <c r="O101" s="199">
        <f t="shared" si="80"/>
        <v>0</v>
      </c>
      <c r="P101" s="200">
        <f t="shared" si="80"/>
        <v>0</v>
      </c>
      <c r="Q101" s="201">
        <f t="shared" si="80"/>
        <v>0</v>
      </c>
      <c r="R101" s="202">
        <f t="shared" si="80"/>
        <v>2.3252967812997186E-3</v>
      </c>
      <c r="S101" s="203">
        <f t="shared" si="80"/>
        <v>1</v>
      </c>
      <c r="U101" s="12">
        <v>2016</v>
      </c>
      <c r="V101" s="196">
        <f t="shared" si="81"/>
        <v>0.50932497111734609</v>
      </c>
      <c r="W101" s="197">
        <f t="shared" si="81"/>
        <v>0</v>
      </c>
      <c r="X101" s="198">
        <f t="shared" si="81"/>
        <v>0.48671397920448917</v>
      </c>
      <c r="Y101" s="199">
        <f t="shared" si="81"/>
        <v>0</v>
      </c>
      <c r="Z101" s="200">
        <f t="shared" si="81"/>
        <v>0</v>
      </c>
      <c r="AA101" s="201">
        <f t="shared" si="81"/>
        <v>0</v>
      </c>
      <c r="AB101" s="202">
        <f t="shared" si="81"/>
        <v>3.7960059415745174E-3</v>
      </c>
      <c r="AC101" s="203">
        <f t="shared" si="81"/>
        <v>1</v>
      </c>
    </row>
    <row r="102" spans="2:29">
      <c r="B102" s="17"/>
      <c r="C102" s="17"/>
      <c r="D102" s="17"/>
      <c r="E102" s="17"/>
      <c r="F102" s="17"/>
      <c r="G102" s="17"/>
      <c r="H102" s="17"/>
      <c r="K102" s="12">
        <v>2017</v>
      </c>
      <c r="L102" s="196">
        <f t="shared" si="80"/>
        <v>0.48236729713239779</v>
      </c>
      <c r="M102" s="197">
        <f t="shared" si="80"/>
        <v>0</v>
      </c>
      <c r="N102" s="198">
        <f t="shared" si="80"/>
        <v>0.51299572910311164</v>
      </c>
      <c r="O102" s="199">
        <f t="shared" si="80"/>
        <v>0</v>
      </c>
      <c r="P102" s="200">
        <f t="shared" si="80"/>
        <v>0</v>
      </c>
      <c r="Q102" s="201">
        <f t="shared" si="80"/>
        <v>0</v>
      </c>
      <c r="R102" s="202">
        <f t="shared" si="80"/>
        <v>0</v>
      </c>
      <c r="S102" s="203">
        <f t="shared" si="80"/>
        <v>1</v>
      </c>
      <c r="U102" s="12">
        <v>2017</v>
      </c>
      <c r="V102" s="196">
        <f t="shared" si="81"/>
        <v>0.4923387775719818</v>
      </c>
      <c r="W102" s="197">
        <f t="shared" si="81"/>
        <v>1.3470281192119885E-3</v>
      </c>
      <c r="X102" s="198">
        <f t="shared" si="81"/>
        <v>0.50463040915979118</v>
      </c>
      <c r="Y102" s="199">
        <f t="shared" si="81"/>
        <v>1.6837851490149856E-4</v>
      </c>
      <c r="Z102" s="200">
        <f t="shared" si="81"/>
        <v>3.3675702980299712E-4</v>
      </c>
      <c r="AA102" s="201">
        <f t="shared" si="81"/>
        <v>3.3675702980299712E-4</v>
      </c>
      <c r="AB102" s="202">
        <f t="shared" si="81"/>
        <v>1.6837851490149856E-4</v>
      </c>
      <c r="AC102" s="203">
        <f t="shared" si="81"/>
        <v>1</v>
      </c>
    </row>
    <row r="103" spans="2:29">
      <c r="B103" s="17"/>
      <c r="C103" s="17"/>
      <c r="D103" s="17"/>
      <c r="E103" s="17"/>
      <c r="F103" s="17"/>
      <c r="G103" s="17"/>
      <c r="H103" s="17"/>
      <c r="K103" s="12">
        <v>2018</v>
      </c>
      <c r="L103" s="196">
        <f t="shared" si="80"/>
        <v>0.5033074155738656</v>
      </c>
      <c r="M103" s="197">
        <f t="shared" si="80"/>
        <v>0</v>
      </c>
      <c r="N103" s="198">
        <f t="shared" si="80"/>
        <v>0.49239874666357203</v>
      </c>
      <c r="O103" s="199">
        <f t="shared" si="80"/>
        <v>0</v>
      </c>
      <c r="P103" s="200">
        <f t="shared" si="80"/>
        <v>0</v>
      </c>
      <c r="Q103" s="201">
        <f t="shared" si="80"/>
        <v>0</v>
      </c>
      <c r="R103" s="202">
        <f t="shared" si="80"/>
        <v>0</v>
      </c>
      <c r="S103" s="203">
        <f t="shared" si="80"/>
        <v>1</v>
      </c>
      <c r="U103" s="12">
        <v>2018</v>
      </c>
      <c r="V103" s="196">
        <f t="shared" si="81"/>
        <v>0.4992764109985528</v>
      </c>
      <c r="W103" s="197">
        <f t="shared" si="81"/>
        <v>2.5727608940344106E-3</v>
      </c>
      <c r="X103" s="198">
        <f t="shared" si="81"/>
        <v>0.49847242321916707</v>
      </c>
      <c r="Y103" s="199">
        <f t="shared" si="81"/>
        <v>3.2159511175430133E-4</v>
      </c>
      <c r="Z103" s="200">
        <f t="shared" si="81"/>
        <v>6.4319022350860266E-4</v>
      </c>
      <c r="AA103" s="201">
        <f t="shared" si="81"/>
        <v>6.4319022350860266E-4</v>
      </c>
      <c r="AB103" s="202">
        <f t="shared" si="81"/>
        <v>3.2159511175430133E-4</v>
      </c>
      <c r="AC103" s="203">
        <f t="shared" si="81"/>
        <v>1</v>
      </c>
    </row>
    <row r="104" spans="2:29">
      <c r="B104" s="17"/>
      <c r="C104" s="17"/>
      <c r="D104" s="17"/>
      <c r="E104" s="17"/>
      <c r="F104" s="17"/>
      <c r="G104" s="17"/>
      <c r="H104" s="17"/>
      <c r="K104" s="12">
        <v>2019</v>
      </c>
      <c r="L104" s="196">
        <f t="shared" si="80"/>
        <v>0.48301792204536909</v>
      </c>
      <c r="M104" s="197">
        <f t="shared" si="80"/>
        <v>0</v>
      </c>
      <c r="N104" s="198">
        <f t="shared" si="80"/>
        <v>0.51221957638801852</v>
      </c>
      <c r="O104" s="199">
        <f t="shared" si="80"/>
        <v>0</v>
      </c>
      <c r="P104" s="200">
        <f t="shared" si="80"/>
        <v>0</v>
      </c>
      <c r="Q104" s="201">
        <f t="shared" si="80"/>
        <v>0</v>
      </c>
      <c r="R104" s="202">
        <f t="shared" si="80"/>
        <v>0</v>
      </c>
      <c r="S104" s="203">
        <f t="shared" si="80"/>
        <v>1</v>
      </c>
      <c r="U104" s="12">
        <v>2019</v>
      </c>
      <c r="V104" s="196">
        <f t="shared" si="81"/>
        <v>0.49349982894286692</v>
      </c>
      <c r="W104" s="197">
        <f t="shared" si="81"/>
        <v>3.4211426616489907E-3</v>
      </c>
      <c r="X104" s="198">
        <f t="shared" si="81"/>
        <v>0.50496065685939107</v>
      </c>
      <c r="Y104" s="199">
        <f t="shared" si="81"/>
        <v>5.131713992473486E-4</v>
      </c>
      <c r="Z104" s="200">
        <f t="shared" si="81"/>
        <v>8.5528566541224766E-4</v>
      </c>
      <c r="AA104" s="201">
        <f t="shared" si="81"/>
        <v>8.5528566541224766E-4</v>
      </c>
      <c r="AB104" s="202">
        <f t="shared" si="81"/>
        <v>3.4211426616489907E-4</v>
      </c>
      <c r="AC104" s="203">
        <f t="shared" si="81"/>
        <v>1</v>
      </c>
    </row>
    <row r="105" spans="2:29">
      <c r="B105" s="17"/>
      <c r="C105" s="17"/>
      <c r="D105" s="17"/>
      <c r="E105" s="17"/>
      <c r="F105" s="17"/>
      <c r="G105" s="17"/>
      <c r="H105" s="17"/>
      <c r="K105" s="12">
        <v>2020</v>
      </c>
      <c r="L105" s="196">
        <f t="shared" si="80"/>
        <v>0.47628865979381441</v>
      </c>
      <c r="M105" s="197">
        <f t="shared" si="80"/>
        <v>0</v>
      </c>
      <c r="N105" s="198">
        <f t="shared" si="80"/>
        <v>0.52038946162657507</v>
      </c>
      <c r="O105" s="199">
        <f t="shared" si="80"/>
        <v>0</v>
      </c>
      <c r="P105" s="200">
        <f t="shared" si="80"/>
        <v>0</v>
      </c>
      <c r="Q105" s="201">
        <f t="shared" si="80"/>
        <v>0</v>
      </c>
      <c r="R105" s="202">
        <f t="shared" si="80"/>
        <v>0</v>
      </c>
      <c r="S105" s="203">
        <f t="shared" si="80"/>
        <v>1</v>
      </c>
      <c r="U105" s="12">
        <v>2020</v>
      </c>
      <c r="V105" s="196">
        <f t="shared" si="81"/>
        <v>0.49491579281855735</v>
      </c>
      <c r="W105" s="197">
        <f t="shared" si="81"/>
        <v>0</v>
      </c>
      <c r="X105" s="198">
        <f t="shared" si="81"/>
        <v>0.51191611058150621</v>
      </c>
      <c r="Y105" s="199">
        <f t="shared" si="81"/>
        <v>0</v>
      </c>
      <c r="Z105" s="200">
        <f t="shared" si="81"/>
        <v>0</v>
      </c>
      <c r="AA105" s="201">
        <f t="shared" si="81"/>
        <v>0</v>
      </c>
      <c r="AB105" s="202">
        <f t="shared" si="81"/>
        <v>0</v>
      </c>
      <c r="AC105" s="203">
        <f t="shared" si="81"/>
        <v>1</v>
      </c>
    </row>
    <row r="106" spans="2:29">
      <c r="B106" s="17"/>
      <c r="C106" s="17"/>
      <c r="D106" s="17"/>
      <c r="E106" s="17"/>
      <c r="F106" s="17"/>
      <c r="G106" s="17"/>
      <c r="H106" s="17"/>
      <c r="K106" s="12">
        <v>2021</v>
      </c>
      <c r="L106" s="196">
        <f t="shared" si="80"/>
        <v>0.48118311891306964</v>
      </c>
      <c r="M106" s="197">
        <f t="shared" si="80"/>
        <v>0</v>
      </c>
      <c r="N106" s="198">
        <f t="shared" si="80"/>
        <v>0.51412769027293492</v>
      </c>
      <c r="O106" s="199">
        <f t="shared" si="80"/>
        <v>0</v>
      </c>
      <c r="P106" s="200">
        <f t="shared" si="80"/>
        <v>0</v>
      </c>
      <c r="Q106" s="201">
        <f t="shared" si="80"/>
        <v>0</v>
      </c>
      <c r="R106" s="202">
        <f t="shared" si="80"/>
        <v>0</v>
      </c>
      <c r="S106" s="203">
        <f t="shared" si="80"/>
        <v>1</v>
      </c>
      <c r="U106" s="12">
        <v>2021</v>
      </c>
      <c r="V106" s="196">
        <f t="shared" si="81"/>
        <v>0.49142215808882478</v>
      </c>
      <c r="W106" s="197">
        <f t="shared" si="81"/>
        <v>3.2066698733365399E-3</v>
      </c>
      <c r="X106" s="198">
        <f t="shared" si="81"/>
        <v>0.50489017155683824</v>
      </c>
      <c r="Y106" s="199">
        <f t="shared" si="81"/>
        <v>0</v>
      </c>
      <c r="Z106" s="200">
        <f t="shared" si="81"/>
        <v>0</v>
      </c>
      <c r="AA106" s="201">
        <f t="shared" si="81"/>
        <v>0</v>
      </c>
      <c r="AB106" s="202">
        <f t="shared" si="81"/>
        <v>0</v>
      </c>
      <c r="AC106" s="203">
        <f t="shared" si="81"/>
        <v>1</v>
      </c>
    </row>
    <row r="107" spans="2:29">
      <c r="B107" s="17"/>
      <c r="C107" s="17"/>
      <c r="D107" s="17"/>
      <c r="E107" s="17"/>
      <c r="F107" s="17"/>
      <c r="G107" s="17"/>
      <c r="H107" s="17"/>
      <c r="I107" s="17"/>
    </row>
    <row r="108" spans="2:29">
      <c r="B108" s="17"/>
      <c r="C108" s="17"/>
      <c r="D108" s="17"/>
      <c r="E108" s="17"/>
      <c r="F108" s="17"/>
      <c r="G108" s="17"/>
      <c r="H108" s="17"/>
      <c r="I108" s="17"/>
    </row>
    <row r="109" spans="2:29">
      <c r="B109" s="17"/>
      <c r="C109" s="17"/>
      <c r="D109" s="17"/>
      <c r="E109" s="17"/>
      <c r="F109" s="17"/>
      <c r="G109" s="17"/>
      <c r="H109" s="17"/>
      <c r="I109" s="17"/>
    </row>
    <row r="110" spans="2:29">
      <c r="B110" s="17"/>
      <c r="C110" s="17"/>
      <c r="D110" s="17"/>
      <c r="E110" s="17"/>
      <c r="F110" s="17"/>
      <c r="G110" s="17"/>
      <c r="H110" s="17"/>
      <c r="I110" s="17"/>
    </row>
    <row r="113" spans="1:19" ht="15" customHeight="1"/>
    <row r="114" spans="1:19" s="62" customFormat="1">
      <c r="A114" s="169" t="s">
        <v>585</v>
      </c>
    </row>
    <row r="115" spans="1:19">
      <c r="A115" s="169" t="s">
        <v>509</v>
      </c>
    </row>
    <row r="116" spans="1:19">
      <c r="A116" t="s">
        <v>586</v>
      </c>
    </row>
    <row r="117" spans="1:19">
      <c r="A117" t="s">
        <v>587</v>
      </c>
      <c r="H117" t="s">
        <v>588</v>
      </c>
    </row>
    <row r="118" spans="1:19">
      <c r="A118" s="54" t="s">
        <v>589</v>
      </c>
      <c r="K118" s="54" t="s">
        <v>590</v>
      </c>
    </row>
    <row r="119" spans="1:19" ht="25.5">
      <c r="A119" s="2" t="s">
        <v>496</v>
      </c>
      <c r="B119" s="170" t="s">
        <v>571</v>
      </c>
      <c r="C119" s="171" t="s">
        <v>572</v>
      </c>
      <c r="D119" s="172" t="s">
        <v>573</v>
      </c>
      <c r="E119" s="173" t="s">
        <v>574</v>
      </c>
      <c r="F119" s="174" t="s">
        <v>575</v>
      </c>
      <c r="G119" s="175" t="s">
        <v>576</v>
      </c>
      <c r="H119" s="176" t="s">
        <v>577</v>
      </c>
      <c r="I119" s="177" t="s">
        <v>500</v>
      </c>
      <c r="K119" s="2" t="s">
        <v>496</v>
      </c>
      <c r="L119" s="170" t="s">
        <v>571</v>
      </c>
      <c r="M119" s="171" t="s">
        <v>572</v>
      </c>
      <c r="N119" s="172" t="s">
        <v>573</v>
      </c>
      <c r="O119" s="173" t="s">
        <v>574</v>
      </c>
      <c r="P119" s="174" t="s">
        <v>575</v>
      </c>
      <c r="Q119" s="175" t="s">
        <v>576</v>
      </c>
      <c r="R119" s="176" t="s">
        <v>577</v>
      </c>
      <c r="S119" s="177" t="s">
        <v>500</v>
      </c>
    </row>
    <row r="120" spans="1:19">
      <c r="A120" s="12">
        <v>2006</v>
      </c>
      <c r="B120" s="178">
        <v>4396</v>
      </c>
      <c r="C120" s="179">
        <v>2849</v>
      </c>
      <c r="D120" s="180">
        <v>3509</v>
      </c>
      <c r="E120" s="181">
        <v>1035</v>
      </c>
      <c r="F120" s="182">
        <v>1770</v>
      </c>
      <c r="G120" s="183">
        <v>1367</v>
      </c>
      <c r="H120" s="184">
        <v>563</v>
      </c>
      <c r="I120" s="185">
        <v>15489</v>
      </c>
      <c r="K120" s="3">
        <v>2006</v>
      </c>
      <c r="L120" s="188">
        <v>2504</v>
      </c>
      <c r="M120" s="189">
        <v>2157</v>
      </c>
      <c r="N120" s="180">
        <v>1976</v>
      </c>
      <c r="O120" s="190">
        <v>725</v>
      </c>
      <c r="P120" s="191">
        <v>886</v>
      </c>
      <c r="Q120" s="192">
        <v>844</v>
      </c>
      <c r="R120" s="184">
        <v>385</v>
      </c>
      <c r="S120" s="185">
        <v>9478</v>
      </c>
    </row>
    <row r="121" spans="1:19">
      <c r="A121" s="12">
        <v>2007</v>
      </c>
      <c r="B121" s="178">
        <v>4402</v>
      </c>
      <c r="C121" s="179">
        <v>2773</v>
      </c>
      <c r="D121" s="180">
        <v>3509</v>
      </c>
      <c r="E121" s="181">
        <v>1009</v>
      </c>
      <c r="F121" s="182">
        <v>1826</v>
      </c>
      <c r="G121" s="183">
        <v>1414</v>
      </c>
      <c r="H121" s="184">
        <v>589</v>
      </c>
      <c r="I121" s="185">
        <v>15521</v>
      </c>
      <c r="K121" s="3">
        <v>2007</v>
      </c>
      <c r="L121" s="188">
        <v>2621</v>
      </c>
      <c r="M121" s="189">
        <v>2190</v>
      </c>
      <c r="N121" s="180">
        <v>1927</v>
      </c>
      <c r="O121" s="190">
        <v>700</v>
      </c>
      <c r="P121" s="191">
        <v>915</v>
      </c>
      <c r="Q121" s="192">
        <v>909</v>
      </c>
      <c r="R121" s="184">
        <v>401</v>
      </c>
      <c r="S121" s="185">
        <v>9664</v>
      </c>
    </row>
    <row r="122" spans="1:19">
      <c r="A122" s="12">
        <v>2008</v>
      </c>
      <c r="B122" s="178">
        <v>4467</v>
      </c>
      <c r="C122" s="179">
        <v>2620</v>
      </c>
      <c r="D122" s="180">
        <v>3567</v>
      </c>
      <c r="E122" s="186">
        <v>952</v>
      </c>
      <c r="F122" s="182">
        <v>1825</v>
      </c>
      <c r="G122" s="183">
        <v>1421</v>
      </c>
      <c r="H122" s="184">
        <v>599</v>
      </c>
      <c r="I122" s="185">
        <v>15451</v>
      </c>
      <c r="K122" s="3">
        <v>2008</v>
      </c>
      <c r="L122" s="188">
        <v>2867</v>
      </c>
      <c r="M122" s="189">
        <v>2216</v>
      </c>
      <c r="N122" s="180">
        <v>1992</v>
      </c>
      <c r="O122" s="190">
        <v>673</v>
      </c>
      <c r="P122" s="191">
        <v>940</v>
      </c>
      <c r="Q122" s="192">
        <v>977</v>
      </c>
      <c r="R122" s="184">
        <v>418</v>
      </c>
      <c r="S122" s="185">
        <v>10082</v>
      </c>
    </row>
    <row r="123" spans="1:19">
      <c r="A123" s="12">
        <v>2009</v>
      </c>
      <c r="B123" s="178">
        <v>4546</v>
      </c>
      <c r="C123" s="179">
        <v>2801</v>
      </c>
      <c r="D123" s="180">
        <v>3566</v>
      </c>
      <c r="E123" s="186">
        <v>963</v>
      </c>
      <c r="F123" s="182">
        <v>1863</v>
      </c>
      <c r="G123" s="183">
        <v>1505</v>
      </c>
      <c r="H123" s="184">
        <v>671</v>
      </c>
      <c r="I123" s="185">
        <v>15915</v>
      </c>
      <c r="K123" s="3">
        <v>2009</v>
      </c>
      <c r="L123" s="188">
        <v>2761</v>
      </c>
      <c r="M123" s="189">
        <v>2302</v>
      </c>
      <c r="N123" s="180">
        <v>1977</v>
      </c>
      <c r="O123" s="190">
        <v>676</v>
      </c>
      <c r="P123" s="191">
        <v>955</v>
      </c>
      <c r="Q123" s="193">
        <v>1014</v>
      </c>
      <c r="R123" s="184">
        <v>468</v>
      </c>
      <c r="S123" s="185">
        <v>10153</v>
      </c>
    </row>
    <row r="124" spans="1:19">
      <c r="A124" s="12">
        <v>2010</v>
      </c>
      <c r="B124" s="178">
        <v>4661</v>
      </c>
      <c r="C124" s="179">
        <v>2870</v>
      </c>
      <c r="D124" s="180">
        <v>3557</v>
      </c>
      <c r="E124" s="186">
        <v>947</v>
      </c>
      <c r="F124" s="182">
        <v>1818</v>
      </c>
      <c r="G124" s="183">
        <v>1558</v>
      </c>
      <c r="H124" s="184">
        <v>742</v>
      </c>
      <c r="I124" s="185">
        <v>16152</v>
      </c>
      <c r="K124" s="3">
        <v>2010</v>
      </c>
      <c r="L124" s="188">
        <v>2685</v>
      </c>
      <c r="M124" s="189">
        <v>2285</v>
      </c>
      <c r="N124" s="180">
        <v>1995</v>
      </c>
      <c r="O124" s="190">
        <v>645</v>
      </c>
      <c r="P124" s="191">
        <v>926</v>
      </c>
      <c r="Q124" s="193">
        <v>1029</v>
      </c>
      <c r="R124" s="184">
        <v>519</v>
      </c>
      <c r="S124" s="185">
        <v>10084</v>
      </c>
    </row>
    <row r="125" spans="1:19">
      <c r="A125" s="12">
        <v>2011</v>
      </c>
      <c r="B125" s="178">
        <v>4740</v>
      </c>
      <c r="C125" s="179">
        <v>2931</v>
      </c>
      <c r="D125" s="180">
        <v>3565</v>
      </c>
      <c r="E125" s="186">
        <v>942</v>
      </c>
      <c r="F125" s="182">
        <v>1763</v>
      </c>
      <c r="G125" s="183">
        <v>1642</v>
      </c>
      <c r="H125" s="184">
        <v>841</v>
      </c>
      <c r="I125" s="185">
        <v>16425</v>
      </c>
      <c r="K125" s="3">
        <v>2011</v>
      </c>
      <c r="L125" s="188">
        <v>2517</v>
      </c>
      <c r="M125" s="189">
        <v>2163</v>
      </c>
      <c r="N125" s="180">
        <v>1950</v>
      </c>
      <c r="O125" s="190">
        <v>585</v>
      </c>
      <c r="P125" s="191">
        <v>857</v>
      </c>
      <c r="Q125" s="193">
        <v>1025</v>
      </c>
      <c r="R125" s="184">
        <v>567</v>
      </c>
      <c r="S125" s="185">
        <v>9556</v>
      </c>
    </row>
    <row r="126" spans="1:19">
      <c r="A126" s="12">
        <v>2012</v>
      </c>
      <c r="B126" s="178">
        <v>4804</v>
      </c>
      <c r="C126" s="179">
        <v>3029</v>
      </c>
      <c r="D126" s="180">
        <v>3549</v>
      </c>
      <c r="E126" s="186">
        <v>970</v>
      </c>
      <c r="F126" s="182">
        <v>1725</v>
      </c>
      <c r="G126" s="183">
        <v>1794</v>
      </c>
      <c r="H126" s="184">
        <v>995</v>
      </c>
      <c r="I126" s="185">
        <v>16866</v>
      </c>
      <c r="K126" s="3">
        <v>2012</v>
      </c>
      <c r="L126" s="188">
        <v>2464</v>
      </c>
      <c r="M126" s="189">
        <v>2162</v>
      </c>
      <c r="N126" s="180">
        <v>1982</v>
      </c>
      <c r="O126" s="190">
        <v>561</v>
      </c>
      <c r="P126" s="191">
        <v>838</v>
      </c>
      <c r="Q126" s="193">
        <v>1127</v>
      </c>
      <c r="R126" s="184">
        <v>678</v>
      </c>
      <c r="S126" s="185">
        <v>9814</v>
      </c>
    </row>
    <row r="127" spans="1:19">
      <c r="A127" s="12">
        <v>2013</v>
      </c>
      <c r="B127" s="178">
        <v>5085</v>
      </c>
      <c r="C127" s="179">
        <v>2883</v>
      </c>
      <c r="D127" s="180">
        <v>3661</v>
      </c>
      <c r="E127" s="186">
        <v>823</v>
      </c>
      <c r="F127" s="182">
        <v>1544</v>
      </c>
      <c r="G127" s="183">
        <v>1573</v>
      </c>
      <c r="H127" s="184">
        <v>1035</v>
      </c>
      <c r="I127" s="185">
        <v>16604</v>
      </c>
      <c r="K127" s="3">
        <v>2013</v>
      </c>
      <c r="L127" s="188">
        <v>2515</v>
      </c>
      <c r="M127" s="189">
        <v>2075</v>
      </c>
      <c r="N127" s="180">
        <v>2049</v>
      </c>
      <c r="O127" s="190">
        <v>480</v>
      </c>
      <c r="P127" s="191">
        <v>471</v>
      </c>
      <c r="Q127" s="193">
        <v>945</v>
      </c>
      <c r="R127" s="184">
        <v>664</v>
      </c>
      <c r="S127" s="185">
        <v>9468</v>
      </c>
    </row>
    <row r="128" spans="1:19">
      <c r="A128" s="12">
        <v>2014</v>
      </c>
      <c r="B128" s="178">
        <v>5083</v>
      </c>
      <c r="C128" s="179">
        <v>2496</v>
      </c>
      <c r="D128" s="180">
        <v>3866</v>
      </c>
      <c r="E128" s="186">
        <v>775</v>
      </c>
      <c r="F128" s="182">
        <v>1495</v>
      </c>
      <c r="G128" s="183">
        <v>1489</v>
      </c>
      <c r="H128" s="184">
        <v>1168</v>
      </c>
      <c r="I128" s="185">
        <v>17371</v>
      </c>
      <c r="K128" s="3">
        <v>2014</v>
      </c>
      <c r="L128" s="188">
        <v>2491</v>
      </c>
      <c r="M128" s="189">
        <v>2565</v>
      </c>
      <c r="N128" s="180">
        <v>2167</v>
      </c>
      <c r="O128" s="190">
        <v>454</v>
      </c>
      <c r="P128" s="191">
        <v>715</v>
      </c>
      <c r="Q128" s="193">
        <v>873</v>
      </c>
      <c r="R128" s="184">
        <v>718</v>
      </c>
      <c r="S128" s="185">
        <v>9983</v>
      </c>
    </row>
    <row r="129" spans="1:19">
      <c r="A129" s="12">
        <v>2015</v>
      </c>
      <c r="B129" s="178">
        <v>4912</v>
      </c>
      <c r="C129" s="179">
        <v>3580</v>
      </c>
      <c r="D129" s="180">
        <v>3866</v>
      </c>
      <c r="E129" s="186">
        <v>691</v>
      </c>
      <c r="F129" s="182">
        <v>1349</v>
      </c>
      <c r="G129" s="183">
        <v>1338</v>
      </c>
      <c r="H129" s="184">
        <v>1235</v>
      </c>
      <c r="I129" s="185">
        <v>16970</v>
      </c>
      <c r="K129" s="3">
        <v>2015</v>
      </c>
      <c r="L129" s="188">
        <v>2350</v>
      </c>
      <c r="M129" s="189">
        <v>2605</v>
      </c>
      <c r="N129" s="180">
        <v>2177</v>
      </c>
      <c r="O129" s="190">
        <v>400</v>
      </c>
      <c r="P129" s="191">
        <v>632</v>
      </c>
      <c r="Q129" s="193">
        <v>758</v>
      </c>
      <c r="R129" s="184">
        <v>718</v>
      </c>
      <c r="S129" s="185">
        <v>9639</v>
      </c>
    </row>
    <row r="130" spans="1:19">
      <c r="A130" s="520">
        <v>2016</v>
      </c>
      <c r="B130" s="521">
        <v>4942</v>
      </c>
      <c r="C130" s="179">
        <v>3758</v>
      </c>
      <c r="D130" s="180">
        <v>4079</v>
      </c>
      <c r="E130" s="186">
        <v>633</v>
      </c>
      <c r="F130" s="182">
        <v>1226</v>
      </c>
      <c r="G130" s="183">
        <v>1231</v>
      </c>
      <c r="H130" s="184">
        <v>1320</v>
      </c>
      <c r="I130" s="185">
        <v>17190</v>
      </c>
      <c r="K130" s="3">
        <v>2016</v>
      </c>
      <c r="L130" s="188">
        <v>2298</v>
      </c>
      <c r="M130" s="189">
        <v>2676</v>
      </c>
      <c r="N130" s="180">
        <v>2278</v>
      </c>
      <c r="O130" s="190">
        <v>359</v>
      </c>
      <c r="P130" s="191">
        <v>560</v>
      </c>
      <c r="Q130" s="193">
        <v>674</v>
      </c>
      <c r="R130" s="184">
        <v>726</v>
      </c>
      <c r="S130" s="185">
        <v>9572</v>
      </c>
    </row>
    <row r="131" spans="1:19">
      <c r="A131" s="522">
        <v>2017</v>
      </c>
      <c r="B131" s="523">
        <v>4777</v>
      </c>
      <c r="C131" s="524">
        <v>3821</v>
      </c>
      <c r="D131" s="525">
        <v>4041</v>
      </c>
      <c r="E131" s="526">
        <v>570</v>
      </c>
      <c r="F131" s="527">
        <v>1053</v>
      </c>
      <c r="G131" s="528">
        <v>1080</v>
      </c>
      <c r="H131" s="529">
        <v>549</v>
      </c>
      <c r="I131" s="530">
        <v>16681</v>
      </c>
      <c r="K131" s="3">
        <v>2017</v>
      </c>
      <c r="L131" s="188">
        <v>2182</v>
      </c>
      <c r="M131" s="189">
        <v>2693</v>
      </c>
      <c r="N131" s="180">
        <v>2298</v>
      </c>
      <c r="O131" s="190">
        <v>316</v>
      </c>
      <c r="P131" s="191">
        <v>476</v>
      </c>
      <c r="Q131" s="193">
        <v>580</v>
      </c>
      <c r="R131" s="184">
        <v>233</v>
      </c>
      <c r="S131" s="185">
        <v>9251</v>
      </c>
    </row>
    <row r="132" spans="1:19">
      <c r="A132" s="522">
        <v>2018</v>
      </c>
      <c r="B132" s="523">
        <v>4941</v>
      </c>
      <c r="C132" s="524">
        <v>3767</v>
      </c>
      <c r="D132" s="525">
        <v>4124</v>
      </c>
      <c r="E132" s="526">
        <v>568</v>
      </c>
      <c r="F132" s="527">
        <v>1050</v>
      </c>
      <c r="G132" s="528">
        <v>1076</v>
      </c>
      <c r="H132" s="529">
        <v>547</v>
      </c>
      <c r="I132" s="530">
        <v>16859</v>
      </c>
      <c r="K132" s="3">
        <v>2018</v>
      </c>
      <c r="L132" s="188">
        <v>2252</v>
      </c>
      <c r="M132" s="189">
        <v>2658</v>
      </c>
      <c r="N132" s="180">
        <v>2412</v>
      </c>
      <c r="O132" s="190">
        <v>315</v>
      </c>
      <c r="P132" s="191">
        <v>474</v>
      </c>
      <c r="Q132" s="193">
        <v>578</v>
      </c>
      <c r="R132" s="184">
        <v>233</v>
      </c>
      <c r="S132" s="185">
        <v>9395</v>
      </c>
    </row>
    <row r="133" spans="1:19">
      <c r="A133" s="522">
        <v>2019</v>
      </c>
      <c r="B133" s="523">
        <v>4768</v>
      </c>
      <c r="C133" s="524">
        <v>3819</v>
      </c>
      <c r="D133" s="525">
        <v>3961</v>
      </c>
      <c r="E133" s="526">
        <v>584</v>
      </c>
      <c r="F133" s="527">
        <v>1093</v>
      </c>
      <c r="G133" s="528">
        <v>1106</v>
      </c>
      <c r="H133" s="529">
        <v>563</v>
      </c>
      <c r="I133" s="530">
        <v>16701</v>
      </c>
      <c r="K133" s="3">
        <v>2019</v>
      </c>
      <c r="L133" s="188">
        <v>2207</v>
      </c>
      <c r="M133" s="189">
        <v>2757</v>
      </c>
      <c r="N133" s="180">
        <v>2283</v>
      </c>
      <c r="O133" s="190">
        <v>358</v>
      </c>
      <c r="P133" s="191">
        <v>500</v>
      </c>
      <c r="Q133" s="193">
        <v>601</v>
      </c>
      <c r="R133" s="184">
        <v>242</v>
      </c>
      <c r="S133" s="185">
        <v>9407</v>
      </c>
    </row>
    <row r="134" spans="1:19">
      <c r="A134" s="522">
        <v>2020</v>
      </c>
      <c r="B134" s="523">
        <v>5131</v>
      </c>
      <c r="C134" s="524">
        <v>4280</v>
      </c>
      <c r="D134" s="525">
        <v>4318</v>
      </c>
      <c r="E134" s="526">
        <v>617</v>
      </c>
      <c r="F134" s="527">
        <v>1153</v>
      </c>
      <c r="G134" s="528">
        <v>1169</v>
      </c>
      <c r="H134" s="529">
        <v>595</v>
      </c>
      <c r="I134" s="530">
        <v>18119</v>
      </c>
      <c r="K134" s="3">
        <v>2020</v>
      </c>
      <c r="L134" s="188">
        <v>2413</v>
      </c>
      <c r="M134" s="189">
        <v>3131</v>
      </c>
      <c r="N134" s="180">
        <v>2524</v>
      </c>
      <c r="O134" s="190">
        <v>352</v>
      </c>
      <c r="P134" s="191">
        <v>535</v>
      </c>
      <c r="Q134" s="193">
        <v>646</v>
      </c>
      <c r="R134" s="184">
        <v>260</v>
      </c>
      <c r="S134" s="185">
        <v>10387</v>
      </c>
    </row>
    <row r="135" spans="1:19">
      <c r="A135" s="522">
        <v>2021</v>
      </c>
      <c r="B135" s="523">
        <v>5121</v>
      </c>
      <c r="C135" s="524">
        <v>4466</v>
      </c>
      <c r="D135" s="525">
        <v>4249</v>
      </c>
      <c r="E135" s="526">
        <v>630</v>
      </c>
      <c r="F135" s="527">
        <v>1183</v>
      </c>
      <c r="G135" s="528">
        <v>1193</v>
      </c>
      <c r="H135" s="529">
        <v>607</v>
      </c>
      <c r="I135" s="530">
        <v>18298</v>
      </c>
      <c r="K135" s="3">
        <v>2021</v>
      </c>
      <c r="L135" s="188">
        <v>2426</v>
      </c>
      <c r="M135" s="189">
        <v>3288</v>
      </c>
      <c r="N135" s="180">
        <v>2501</v>
      </c>
      <c r="O135" s="190">
        <v>362</v>
      </c>
      <c r="P135" s="191">
        <v>553</v>
      </c>
      <c r="Q135" s="193">
        <v>663</v>
      </c>
      <c r="R135" s="184">
        <v>267</v>
      </c>
      <c r="S135" s="185">
        <v>10599</v>
      </c>
    </row>
    <row r="137" spans="1:19">
      <c r="A137" s="169" t="s">
        <v>527</v>
      </c>
    </row>
    <row r="138" spans="1:19">
      <c r="A138" s="54" t="s">
        <v>589</v>
      </c>
      <c r="K138" s="54" t="s">
        <v>590</v>
      </c>
    </row>
    <row r="139" spans="1:19" ht="25.5">
      <c r="A139" s="2" t="s">
        <v>496</v>
      </c>
      <c r="B139" s="170" t="s">
        <v>571</v>
      </c>
      <c r="C139" s="171" t="s">
        <v>572</v>
      </c>
      <c r="D139" s="172" t="s">
        <v>573</v>
      </c>
      <c r="E139" s="173" t="s">
        <v>574</v>
      </c>
      <c r="F139" s="174" t="s">
        <v>575</v>
      </c>
      <c r="G139" s="175" t="s">
        <v>576</v>
      </c>
      <c r="H139" s="176" t="s">
        <v>577</v>
      </c>
      <c r="I139" s="177" t="s">
        <v>500</v>
      </c>
      <c r="K139" s="2" t="s">
        <v>496</v>
      </c>
      <c r="L139" s="170" t="s">
        <v>571</v>
      </c>
      <c r="M139" s="171" t="s">
        <v>572</v>
      </c>
      <c r="N139" s="172" t="s">
        <v>573</v>
      </c>
      <c r="O139" s="173" t="s">
        <v>574</v>
      </c>
      <c r="P139" s="174" t="s">
        <v>575</v>
      </c>
      <c r="Q139" s="175" t="s">
        <v>576</v>
      </c>
      <c r="R139" s="176" t="s">
        <v>577</v>
      </c>
      <c r="S139" s="177" t="s">
        <v>500</v>
      </c>
    </row>
    <row r="140" spans="1:19">
      <c r="A140" s="12">
        <v>2006</v>
      </c>
      <c r="B140" s="204">
        <v>813</v>
      </c>
      <c r="C140" s="179">
        <v>2849</v>
      </c>
      <c r="D140" s="180">
        <v>1070</v>
      </c>
      <c r="E140" s="181">
        <v>1035</v>
      </c>
      <c r="F140" s="182">
        <v>1770</v>
      </c>
      <c r="G140" s="183">
        <v>1367</v>
      </c>
      <c r="H140" s="184">
        <v>539</v>
      </c>
      <c r="I140" s="185">
        <v>9442</v>
      </c>
      <c r="K140" s="3">
        <v>2006</v>
      </c>
      <c r="L140" s="204">
        <v>587</v>
      </c>
      <c r="M140" s="189">
        <v>2157</v>
      </c>
      <c r="N140" s="207">
        <v>171</v>
      </c>
      <c r="O140" s="190">
        <v>725</v>
      </c>
      <c r="P140" s="191">
        <v>886</v>
      </c>
      <c r="Q140" s="192">
        <v>844</v>
      </c>
      <c r="R140" s="184">
        <v>364</v>
      </c>
      <c r="S140" s="185">
        <v>5733</v>
      </c>
    </row>
    <row r="141" spans="1:19">
      <c r="A141" s="12">
        <v>2007</v>
      </c>
      <c r="B141" s="204">
        <v>850</v>
      </c>
      <c r="C141" s="179">
        <v>2773</v>
      </c>
      <c r="D141" s="180">
        <v>1181</v>
      </c>
      <c r="E141" s="181">
        <v>1009</v>
      </c>
      <c r="F141" s="182">
        <v>1826</v>
      </c>
      <c r="G141" s="183">
        <v>1414</v>
      </c>
      <c r="H141" s="184">
        <v>563</v>
      </c>
      <c r="I141" s="185">
        <v>9615</v>
      </c>
      <c r="K141" s="3">
        <v>2007</v>
      </c>
      <c r="L141" s="204">
        <v>659</v>
      </c>
      <c r="M141" s="189">
        <v>2190</v>
      </c>
      <c r="N141" s="207">
        <v>218</v>
      </c>
      <c r="O141" s="190">
        <v>700</v>
      </c>
      <c r="P141" s="191">
        <v>915</v>
      </c>
      <c r="Q141" s="192">
        <v>909</v>
      </c>
      <c r="R141" s="184">
        <v>380</v>
      </c>
      <c r="S141" s="185">
        <v>5972</v>
      </c>
    </row>
    <row r="142" spans="1:19">
      <c r="A142" s="12">
        <v>2008</v>
      </c>
      <c r="B142" s="204">
        <v>862</v>
      </c>
      <c r="C142" s="179">
        <v>2620</v>
      </c>
      <c r="D142" s="180">
        <v>1264</v>
      </c>
      <c r="E142" s="186">
        <v>952</v>
      </c>
      <c r="F142" s="182">
        <v>1825</v>
      </c>
      <c r="G142" s="183">
        <v>1421</v>
      </c>
      <c r="H142" s="184">
        <v>570</v>
      </c>
      <c r="I142" s="185">
        <v>9514</v>
      </c>
      <c r="K142" s="3">
        <v>2008</v>
      </c>
      <c r="L142" s="204">
        <v>744</v>
      </c>
      <c r="M142" s="189">
        <v>2216</v>
      </c>
      <c r="N142" s="207">
        <v>277</v>
      </c>
      <c r="O142" s="190">
        <v>673</v>
      </c>
      <c r="P142" s="191">
        <v>940</v>
      </c>
      <c r="Q142" s="192">
        <v>977</v>
      </c>
      <c r="R142" s="184">
        <v>395</v>
      </c>
      <c r="S142" s="185">
        <v>6222</v>
      </c>
    </row>
    <row r="143" spans="1:19">
      <c r="A143" s="12">
        <v>2009</v>
      </c>
      <c r="B143" s="204">
        <v>951</v>
      </c>
      <c r="C143" s="179">
        <v>2801</v>
      </c>
      <c r="D143" s="180">
        <v>1252</v>
      </c>
      <c r="E143" s="186">
        <v>963</v>
      </c>
      <c r="F143" s="182">
        <v>1863</v>
      </c>
      <c r="G143" s="183">
        <v>1505</v>
      </c>
      <c r="H143" s="184">
        <v>644</v>
      </c>
      <c r="I143" s="185">
        <v>9979</v>
      </c>
      <c r="K143" s="3">
        <v>2009</v>
      </c>
      <c r="L143" s="204">
        <v>709</v>
      </c>
      <c r="M143" s="189">
        <v>2302</v>
      </c>
      <c r="N143" s="207">
        <v>227</v>
      </c>
      <c r="O143" s="190">
        <v>676</v>
      </c>
      <c r="P143" s="191">
        <v>955</v>
      </c>
      <c r="Q143" s="193">
        <v>1014</v>
      </c>
      <c r="R143" s="184">
        <v>450</v>
      </c>
      <c r="S143" s="185">
        <v>6333</v>
      </c>
    </row>
    <row r="144" spans="1:19">
      <c r="A144" s="12">
        <v>2010</v>
      </c>
      <c r="B144" s="205">
        <v>1004</v>
      </c>
      <c r="C144" s="179">
        <v>2870</v>
      </c>
      <c r="D144" s="180">
        <v>1187</v>
      </c>
      <c r="E144" s="186">
        <v>947</v>
      </c>
      <c r="F144" s="182">
        <v>1818</v>
      </c>
      <c r="G144" s="183">
        <v>1558</v>
      </c>
      <c r="H144" s="184">
        <v>717</v>
      </c>
      <c r="I144" s="185">
        <v>10100</v>
      </c>
      <c r="K144" s="3">
        <v>2010</v>
      </c>
      <c r="L144" s="204">
        <v>667</v>
      </c>
      <c r="M144" s="189">
        <v>2285</v>
      </c>
      <c r="N144" s="207">
        <v>178</v>
      </c>
      <c r="O144" s="190">
        <v>645</v>
      </c>
      <c r="P144" s="191">
        <v>926</v>
      </c>
      <c r="Q144" s="193">
        <v>1009</v>
      </c>
      <c r="R144" s="184">
        <v>504</v>
      </c>
      <c r="S144" s="185">
        <v>6234</v>
      </c>
    </row>
    <row r="145" spans="1:19">
      <c r="A145" s="12">
        <v>2011</v>
      </c>
      <c r="B145" s="205">
        <v>1055</v>
      </c>
      <c r="C145" s="179">
        <v>2931</v>
      </c>
      <c r="D145" s="180">
        <v>1118</v>
      </c>
      <c r="E145" s="186">
        <v>942</v>
      </c>
      <c r="F145" s="182">
        <v>1763</v>
      </c>
      <c r="G145" s="183">
        <v>1642</v>
      </c>
      <c r="H145" s="184">
        <v>817</v>
      </c>
      <c r="I145" s="185">
        <v>10269</v>
      </c>
      <c r="K145" s="3">
        <v>2011</v>
      </c>
      <c r="L145" s="204">
        <v>613</v>
      </c>
      <c r="M145" s="189">
        <v>2163</v>
      </c>
      <c r="N145" s="207">
        <v>133</v>
      </c>
      <c r="O145" s="190">
        <v>565</v>
      </c>
      <c r="P145" s="191">
        <v>847</v>
      </c>
      <c r="Q145" s="193">
        <v>1025</v>
      </c>
      <c r="R145" s="184">
        <v>56</v>
      </c>
      <c r="S145" s="185">
        <v>5932</v>
      </c>
    </row>
    <row r="146" spans="1:19">
      <c r="A146" s="12">
        <v>2012</v>
      </c>
      <c r="B146" s="205">
        <v>1120</v>
      </c>
      <c r="C146" s="179">
        <v>3029</v>
      </c>
      <c r="D146" s="180">
        <v>1062</v>
      </c>
      <c r="E146" s="186">
        <v>970</v>
      </c>
      <c r="F146" s="182">
        <v>1725</v>
      </c>
      <c r="G146" s="183">
        <v>1794</v>
      </c>
      <c r="H146" s="184">
        <v>974</v>
      </c>
      <c r="I146" s="185">
        <v>10674</v>
      </c>
      <c r="K146" s="3">
        <v>2012</v>
      </c>
      <c r="L146" s="204">
        <v>605</v>
      </c>
      <c r="M146" s="189">
        <v>2162</v>
      </c>
      <c r="N146" s="207">
        <v>105</v>
      </c>
      <c r="O146" s="190">
        <v>531</v>
      </c>
      <c r="P146" s="191">
        <v>838</v>
      </c>
      <c r="Q146" s="193">
        <v>1127</v>
      </c>
      <c r="R146" s="184">
        <v>669</v>
      </c>
      <c r="S146" s="185">
        <v>6068</v>
      </c>
    </row>
    <row r="147" spans="1:19">
      <c r="A147" s="12">
        <v>2013</v>
      </c>
      <c r="B147" s="205">
        <v>1587</v>
      </c>
      <c r="C147" s="179">
        <v>2883</v>
      </c>
      <c r="D147" s="180">
        <v>1072</v>
      </c>
      <c r="E147" s="186">
        <v>823</v>
      </c>
      <c r="F147" s="182">
        <v>1544</v>
      </c>
      <c r="G147" s="183">
        <v>1573</v>
      </c>
      <c r="H147" s="184">
        <v>10143</v>
      </c>
      <c r="I147" s="185">
        <v>10496</v>
      </c>
      <c r="K147" s="3">
        <v>2013</v>
      </c>
      <c r="L147" s="204">
        <v>789</v>
      </c>
      <c r="M147" s="189">
        <v>2075</v>
      </c>
      <c r="N147" s="207">
        <v>120</v>
      </c>
      <c r="O147" s="190">
        <v>580</v>
      </c>
      <c r="P147" s="191">
        <v>741</v>
      </c>
      <c r="Q147" s="193">
        <v>945</v>
      </c>
      <c r="R147" s="184">
        <v>654</v>
      </c>
      <c r="S147" s="185">
        <v>5803</v>
      </c>
    </row>
    <row r="148" spans="1:19">
      <c r="A148" s="12">
        <v>2014</v>
      </c>
      <c r="B148" s="205">
        <v>1728</v>
      </c>
      <c r="C148" s="179">
        <v>3496</v>
      </c>
      <c r="D148" s="180">
        <v>1146</v>
      </c>
      <c r="E148" s="186">
        <v>775</v>
      </c>
      <c r="F148" s="182">
        <v>1495</v>
      </c>
      <c r="G148" s="183">
        <v>1489</v>
      </c>
      <c r="H148" s="184">
        <v>1145</v>
      </c>
      <c r="I148" s="185">
        <v>11272</v>
      </c>
      <c r="K148" s="3">
        <v>2014</v>
      </c>
      <c r="L148" s="204">
        <v>855</v>
      </c>
      <c r="M148" s="189">
        <v>2565</v>
      </c>
      <c r="N148" s="207">
        <v>144</v>
      </c>
      <c r="O148" s="190">
        <v>545</v>
      </c>
      <c r="P148" s="191">
        <v>713</v>
      </c>
      <c r="Q148" s="193">
        <v>873</v>
      </c>
      <c r="R148" s="184">
        <v>706</v>
      </c>
      <c r="S148" s="185">
        <v>6312</v>
      </c>
    </row>
    <row r="149" spans="1:19">
      <c r="A149" s="12">
        <v>2015</v>
      </c>
      <c r="B149" s="205">
        <v>1773</v>
      </c>
      <c r="C149" s="179">
        <v>3580</v>
      </c>
      <c r="D149" s="180">
        <v>1090</v>
      </c>
      <c r="E149" s="186">
        <v>691</v>
      </c>
      <c r="F149" s="182">
        <v>1349</v>
      </c>
      <c r="G149" s="183">
        <v>1338</v>
      </c>
      <c r="H149" s="184">
        <v>1212</v>
      </c>
      <c r="I149" s="185">
        <v>11033</v>
      </c>
      <c r="K149" s="3">
        <v>2015</v>
      </c>
      <c r="L149" s="204">
        <v>865</v>
      </c>
      <c r="M149" s="189">
        <v>2605</v>
      </c>
      <c r="N149" s="207">
        <v>151</v>
      </c>
      <c r="O149" s="190">
        <v>500</v>
      </c>
      <c r="P149" s="191">
        <v>632</v>
      </c>
      <c r="Q149" s="193">
        <v>745</v>
      </c>
      <c r="R149" s="184">
        <v>706</v>
      </c>
      <c r="S149" s="185">
        <v>6117</v>
      </c>
    </row>
    <row r="150" spans="1:19">
      <c r="A150" s="12">
        <v>2016</v>
      </c>
      <c r="B150" s="205">
        <v>1856</v>
      </c>
      <c r="C150" s="179">
        <v>3758</v>
      </c>
      <c r="D150" s="180">
        <v>1130</v>
      </c>
      <c r="E150" s="186">
        <v>633</v>
      </c>
      <c r="F150" s="182">
        <v>1226</v>
      </c>
      <c r="G150" s="183">
        <v>1231</v>
      </c>
      <c r="H150" s="184">
        <v>1297</v>
      </c>
      <c r="I150" s="185">
        <v>11131</v>
      </c>
      <c r="K150" s="3">
        <v>2016</v>
      </c>
      <c r="L150" s="204">
        <v>895</v>
      </c>
      <c r="M150" s="189">
        <v>2676</v>
      </c>
      <c r="N150" s="207">
        <v>171</v>
      </c>
      <c r="O150" s="190">
        <v>359</v>
      </c>
      <c r="P150" s="191">
        <v>560</v>
      </c>
      <c r="Q150" s="193">
        <v>674</v>
      </c>
      <c r="R150" s="184">
        <v>713</v>
      </c>
      <c r="S150" s="185">
        <v>6048</v>
      </c>
    </row>
    <row r="151" spans="1:19">
      <c r="A151" s="12">
        <v>2017</v>
      </c>
      <c r="B151" s="205">
        <v>1866</v>
      </c>
      <c r="C151" s="179">
        <v>3829</v>
      </c>
      <c r="D151" s="180">
        <v>1053</v>
      </c>
      <c r="E151" s="186">
        <v>571</v>
      </c>
      <c r="F151" s="182">
        <v>1055</v>
      </c>
      <c r="G151" s="183">
        <v>1082</v>
      </c>
      <c r="H151" s="187">
        <v>550</v>
      </c>
      <c r="I151" s="185">
        <v>10774</v>
      </c>
      <c r="K151" s="3">
        <v>2017</v>
      </c>
      <c r="L151" s="204">
        <v>904</v>
      </c>
      <c r="M151" s="189">
        <v>2693</v>
      </c>
      <c r="N151" s="207">
        <v>177</v>
      </c>
      <c r="O151" s="190">
        <v>316</v>
      </c>
      <c r="P151" s="191">
        <v>473</v>
      </c>
      <c r="Q151" s="193">
        <v>580</v>
      </c>
      <c r="R151" s="184">
        <v>233</v>
      </c>
      <c r="S151" s="185">
        <v>5838</v>
      </c>
    </row>
    <row r="152" spans="1:19">
      <c r="A152" s="12">
        <v>2018</v>
      </c>
      <c r="B152" s="205">
        <v>1862</v>
      </c>
      <c r="C152" s="179">
        <v>3783</v>
      </c>
      <c r="D152" s="180">
        <v>1042</v>
      </c>
      <c r="E152" s="186">
        <v>570</v>
      </c>
      <c r="F152" s="182">
        <v>1054</v>
      </c>
      <c r="G152" s="183">
        <v>1080</v>
      </c>
      <c r="H152" s="187">
        <v>549</v>
      </c>
      <c r="I152" s="185">
        <v>10706</v>
      </c>
      <c r="K152" s="3">
        <v>2018</v>
      </c>
      <c r="L152" s="204">
        <v>901</v>
      </c>
      <c r="M152" s="189">
        <v>2658</v>
      </c>
      <c r="N152" s="207">
        <v>176</v>
      </c>
      <c r="O152" s="190">
        <v>315</v>
      </c>
      <c r="P152" s="191">
        <v>474</v>
      </c>
      <c r="Q152" s="193">
        <v>578</v>
      </c>
      <c r="R152" s="184">
        <v>233</v>
      </c>
      <c r="S152" s="185">
        <v>5793</v>
      </c>
    </row>
    <row r="153" spans="1:19">
      <c r="A153" s="12">
        <v>2019</v>
      </c>
      <c r="B153" s="205">
        <v>1916</v>
      </c>
      <c r="C153" s="179">
        <v>3839</v>
      </c>
      <c r="D153" s="206">
        <v>1033</v>
      </c>
      <c r="E153" s="186">
        <v>587</v>
      </c>
      <c r="F153" s="182">
        <v>1098</v>
      </c>
      <c r="G153" s="183">
        <v>1111</v>
      </c>
      <c r="H153" s="187">
        <v>565</v>
      </c>
      <c r="I153" s="185">
        <v>10939</v>
      </c>
      <c r="K153" s="3">
        <v>2019</v>
      </c>
      <c r="L153" s="204">
        <v>937</v>
      </c>
      <c r="M153" s="189">
        <v>2757</v>
      </c>
      <c r="N153" s="207">
        <v>176</v>
      </c>
      <c r="O153" s="190">
        <v>328</v>
      </c>
      <c r="P153" s="191">
        <v>500</v>
      </c>
      <c r="Q153" s="193">
        <v>601</v>
      </c>
      <c r="R153" s="184">
        <v>242</v>
      </c>
      <c r="S153" s="185">
        <v>6016</v>
      </c>
    </row>
    <row r="154" spans="1:19">
      <c r="A154" s="12">
        <v>2020</v>
      </c>
      <c r="B154" s="205">
        <v>2027</v>
      </c>
      <c r="C154" s="179">
        <v>4280</v>
      </c>
      <c r="D154" s="180">
        <v>1096</v>
      </c>
      <c r="E154" s="186">
        <v>617</v>
      </c>
      <c r="F154" s="182">
        <v>1153</v>
      </c>
      <c r="G154" s="183">
        <v>1169</v>
      </c>
      <c r="H154" s="187">
        <v>595</v>
      </c>
      <c r="I154" s="185">
        <v>11757</v>
      </c>
      <c r="K154" s="3">
        <v>2020</v>
      </c>
      <c r="L154" s="204">
        <v>1006</v>
      </c>
      <c r="M154" s="189">
        <v>3131</v>
      </c>
      <c r="N154" s="207">
        <v>190</v>
      </c>
      <c r="O154" s="190">
        <v>352</v>
      </c>
      <c r="P154" s="191">
        <v>535</v>
      </c>
      <c r="Q154" s="193">
        <v>646</v>
      </c>
      <c r="R154" s="184">
        <v>267</v>
      </c>
      <c r="S154" s="185">
        <v>6631</v>
      </c>
    </row>
    <row r="155" spans="1:19">
      <c r="A155" s="12">
        <v>2021</v>
      </c>
      <c r="B155" s="205">
        <v>2056</v>
      </c>
      <c r="C155" s="179">
        <v>4466</v>
      </c>
      <c r="D155" s="180">
        <v>1100</v>
      </c>
      <c r="E155" s="186">
        <v>630</v>
      </c>
      <c r="F155" s="182">
        <v>1183</v>
      </c>
      <c r="G155" s="183">
        <v>1193</v>
      </c>
      <c r="H155" s="187">
        <v>607</v>
      </c>
      <c r="I155" s="185">
        <v>12061</v>
      </c>
      <c r="K155" s="3">
        <v>2021</v>
      </c>
      <c r="L155" s="204">
        <v>1033</v>
      </c>
      <c r="M155" s="189">
        <v>3288</v>
      </c>
      <c r="N155" s="207">
        <v>192</v>
      </c>
      <c r="O155" s="190">
        <v>62</v>
      </c>
      <c r="P155" s="191">
        <v>553</v>
      </c>
      <c r="Q155" s="193">
        <v>663</v>
      </c>
      <c r="R155" s="184">
        <v>267</v>
      </c>
      <c r="S155" s="185">
        <v>6883</v>
      </c>
    </row>
  </sheetData>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79998168889431442"/>
  </sheetPr>
  <dimension ref="A1:Y74"/>
  <sheetViews>
    <sheetView zoomScale="111" zoomScaleNormal="136" workbookViewId="0">
      <selection activeCell="K28" sqref="K28"/>
    </sheetView>
  </sheetViews>
  <sheetFormatPr defaultColWidth="8.81640625" defaultRowHeight="14.5"/>
  <cols>
    <col min="6" max="6" width="16.453125" customWidth="1"/>
    <col min="8" max="8" width="14.453125" bestFit="1" customWidth="1"/>
    <col min="9" max="9" width="12" customWidth="1"/>
    <col min="11" max="11" width="14.26953125" customWidth="1"/>
    <col min="17" max="17" width="14.7265625" customWidth="1"/>
    <col min="20" max="20" width="8.7265625" customWidth="1"/>
    <col min="24" max="24" width="9.1796875" customWidth="1"/>
  </cols>
  <sheetData>
    <row r="1" spans="1:17" ht="29.5" customHeight="1">
      <c r="A1" s="106" t="s">
        <v>591</v>
      </c>
    </row>
    <row r="2" spans="1:17">
      <c r="A2" t="s">
        <v>493</v>
      </c>
      <c r="B2" t="s">
        <v>592</v>
      </c>
      <c r="G2" t="s">
        <v>593</v>
      </c>
    </row>
    <row r="3" spans="1:17">
      <c r="B3" s="20"/>
      <c r="C3" s="21"/>
      <c r="D3" s="21"/>
      <c r="E3" s="22"/>
      <c r="G3" s="20"/>
      <c r="H3" s="21"/>
      <c r="I3" s="21"/>
      <c r="J3" s="21"/>
      <c r="K3" s="21"/>
      <c r="L3" s="21"/>
      <c r="M3" s="21"/>
      <c r="N3" s="22"/>
    </row>
    <row r="4" spans="1:17">
      <c r="B4" s="23" t="s">
        <v>509</v>
      </c>
      <c r="E4" s="24"/>
      <c r="G4" s="23" t="s">
        <v>509</v>
      </c>
      <c r="N4" s="24"/>
    </row>
    <row r="5" spans="1:17">
      <c r="B5" s="23"/>
      <c r="D5">
        <v>2021</v>
      </c>
      <c r="E5">
        <v>2016</v>
      </c>
      <c r="G5" s="23"/>
      <c r="H5" t="s">
        <v>510</v>
      </c>
      <c r="I5" t="s">
        <v>594</v>
      </c>
      <c r="J5" t="s">
        <v>512</v>
      </c>
      <c r="K5" t="s">
        <v>514</v>
      </c>
      <c r="L5" t="s">
        <v>515</v>
      </c>
      <c r="M5" t="s">
        <v>516</v>
      </c>
      <c r="N5" s="24" t="s">
        <v>517</v>
      </c>
      <c r="O5" t="s">
        <v>595</v>
      </c>
    </row>
    <row r="6" spans="1:17">
      <c r="B6" s="23"/>
      <c r="G6" s="23">
        <v>2005</v>
      </c>
      <c r="H6" s="17">
        <v>0.28000000000000003</v>
      </c>
      <c r="I6" s="17">
        <v>7.0000000000000007E-2</v>
      </c>
      <c r="J6" s="17">
        <v>0.16</v>
      </c>
      <c r="K6" s="17">
        <v>0.05</v>
      </c>
      <c r="L6" s="17">
        <v>0.15</v>
      </c>
      <c r="M6" s="17">
        <v>0.28999999999999998</v>
      </c>
      <c r="N6" s="25">
        <f t="shared" ref="N6:N11" si="0">SUM(H6:M6)</f>
        <v>1</v>
      </c>
    </row>
    <row r="7" spans="1:17">
      <c r="B7" s="23" t="s">
        <v>518</v>
      </c>
      <c r="C7" t="s">
        <v>510</v>
      </c>
      <c r="D7" s="17">
        <v>0.25</v>
      </c>
      <c r="E7" s="17">
        <v>0.24</v>
      </c>
      <c r="G7" s="23">
        <v>2006</v>
      </c>
      <c r="H7" s="17">
        <v>0.27</v>
      </c>
      <c r="I7" s="17">
        <v>0.08</v>
      </c>
      <c r="J7" s="17">
        <v>0.15</v>
      </c>
      <c r="K7" s="17">
        <v>0.05</v>
      </c>
      <c r="L7" s="17">
        <v>0.15</v>
      </c>
      <c r="M7" s="17">
        <v>0.3</v>
      </c>
      <c r="N7" s="25">
        <f t="shared" si="0"/>
        <v>1</v>
      </c>
    </row>
    <row r="8" spans="1:17">
      <c r="B8" s="23" t="s">
        <v>596</v>
      </c>
      <c r="C8" t="s">
        <v>594</v>
      </c>
      <c r="D8" s="17">
        <v>0.09</v>
      </c>
      <c r="E8" s="17">
        <v>0.12</v>
      </c>
      <c r="G8" s="23">
        <v>2007</v>
      </c>
      <c r="H8" s="17">
        <v>0.27</v>
      </c>
      <c r="I8" s="17">
        <v>0.06</v>
      </c>
      <c r="J8" s="17">
        <v>0.15</v>
      </c>
      <c r="K8" s="17">
        <v>0.04</v>
      </c>
      <c r="L8" s="17">
        <v>0.11</v>
      </c>
      <c r="M8" s="17">
        <v>0.37</v>
      </c>
      <c r="N8" s="25">
        <f t="shared" si="0"/>
        <v>1</v>
      </c>
    </row>
    <row r="9" spans="1:17">
      <c r="B9" s="23" t="s">
        <v>520</v>
      </c>
      <c r="C9" t="s">
        <v>512</v>
      </c>
      <c r="D9" s="17">
        <v>0.11</v>
      </c>
      <c r="E9" s="17">
        <v>0.12</v>
      </c>
      <c r="G9" s="23">
        <v>2008</v>
      </c>
      <c r="H9" s="17">
        <v>0.24</v>
      </c>
      <c r="I9" s="17">
        <v>0.1</v>
      </c>
      <c r="J9" s="17">
        <v>0.1</v>
      </c>
      <c r="K9" s="17">
        <v>0.05</v>
      </c>
      <c r="L9" s="17">
        <v>0.13</v>
      </c>
      <c r="M9" s="17">
        <v>0.38</v>
      </c>
      <c r="N9" s="25">
        <f t="shared" si="0"/>
        <v>0.99999999999999989</v>
      </c>
    </row>
    <row r="10" spans="1:17">
      <c r="B10" s="23" t="s">
        <v>524</v>
      </c>
      <c r="C10" t="s">
        <v>514</v>
      </c>
      <c r="D10" s="17">
        <v>0.05</v>
      </c>
      <c r="E10" s="17">
        <v>0.05</v>
      </c>
      <c r="G10" s="23">
        <v>2009</v>
      </c>
      <c r="H10" s="17">
        <v>0.24</v>
      </c>
      <c r="I10" s="17">
        <v>0.1</v>
      </c>
      <c r="J10" s="17">
        <v>0.1</v>
      </c>
      <c r="K10" s="17">
        <v>0.05</v>
      </c>
      <c r="L10" s="17">
        <v>0.13</v>
      </c>
      <c r="M10" s="17">
        <v>0.38</v>
      </c>
      <c r="N10" s="25">
        <f t="shared" si="0"/>
        <v>0.99999999999999989</v>
      </c>
    </row>
    <row r="11" spans="1:17">
      <c r="B11" s="23" t="s">
        <v>525</v>
      </c>
      <c r="C11" t="s">
        <v>515</v>
      </c>
      <c r="D11" s="17">
        <v>0.11</v>
      </c>
      <c r="E11" s="17">
        <v>0.14000000000000001</v>
      </c>
      <c r="G11" s="23">
        <v>2010</v>
      </c>
      <c r="H11" s="17">
        <v>0.25</v>
      </c>
      <c r="I11" s="17">
        <v>0.1</v>
      </c>
      <c r="J11" s="17">
        <v>0.12</v>
      </c>
      <c r="K11" s="17">
        <v>0.05</v>
      </c>
      <c r="L11" s="17">
        <v>0.13</v>
      </c>
      <c r="M11" s="17">
        <v>0.35</v>
      </c>
      <c r="N11" s="25">
        <f t="shared" si="0"/>
        <v>1</v>
      </c>
      <c r="Q11" t="s">
        <v>597</v>
      </c>
    </row>
    <row r="12" spans="1:17">
      <c r="B12" s="23" t="s">
        <v>526</v>
      </c>
      <c r="C12" t="s">
        <v>516</v>
      </c>
      <c r="D12" s="17">
        <v>0.32</v>
      </c>
      <c r="E12" s="17">
        <v>0.33</v>
      </c>
      <c r="G12" s="23">
        <v>2011</v>
      </c>
      <c r="H12" s="17">
        <v>0.26</v>
      </c>
      <c r="I12" s="17">
        <v>0.12</v>
      </c>
      <c r="J12" s="17">
        <v>0.13</v>
      </c>
      <c r="K12" s="17">
        <v>0.05</v>
      </c>
      <c r="L12" s="17">
        <v>0.13</v>
      </c>
      <c r="M12" s="17">
        <v>0.31</v>
      </c>
      <c r="N12" s="25">
        <f t="shared" ref="N12:N13" si="1">SUM(H12:M12)</f>
        <v>1</v>
      </c>
      <c r="Q12">
        <v>116013</v>
      </c>
    </row>
    <row r="13" spans="1:17">
      <c r="B13" s="23" t="s">
        <v>517</v>
      </c>
      <c r="D13" s="17"/>
      <c r="E13" s="17">
        <f>SUM(E7:E12)</f>
        <v>1</v>
      </c>
      <c r="G13" s="23">
        <v>2012</v>
      </c>
      <c r="H13" s="17">
        <v>0.25</v>
      </c>
      <c r="I13" s="17">
        <v>0.12</v>
      </c>
      <c r="J13" s="17">
        <v>0.13</v>
      </c>
      <c r="K13" s="17">
        <v>0.05</v>
      </c>
      <c r="L13" s="17">
        <v>0.14000000000000001</v>
      </c>
      <c r="M13" s="17">
        <v>0.31</v>
      </c>
      <c r="N13" s="25">
        <f t="shared" si="1"/>
        <v>1</v>
      </c>
      <c r="Q13">
        <v>118330</v>
      </c>
    </row>
    <row r="14" spans="1:17">
      <c r="B14" s="23"/>
      <c r="D14" s="17"/>
      <c r="E14" s="17"/>
      <c r="G14" s="23">
        <v>2013</v>
      </c>
      <c r="H14" s="17">
        <v>0.26</v>
      </c>
      <c r="I14" s="17">
        <v>0.12</v>
      </c>
      <c r="J14" s="17">
        <v>0.13</v>
      </c>
      <c r="K14" s="17">
        <v>0.05</v>
      </c>
      <c r="L14" s="17">
        <v>0.14000000000000001</v>
      </c>
      <c r="M14" s="17">
        <v>0.3</v>
      </c>
      <c r="N14" s="25">
        <f t="shared" ref="N14:N22" si="2">SUM(H14:M14)</f>
        <v>1</v>
      </c>
      <c r="Q14">
        <v>118209</v>
      </c>
    </row>
    <row r="15" spans="1:17">
      <c r="B15" s="23"/>
      <c r="D15" s="17"/>
      <c r="E15" s="17"/>
      <c r="G15" s="23">
        <v>2014</v>
      </c>
      <c r="H15" s="17">
        <v>0.26</v>
      </c>
      <c r="I15" s="17">
        <v>0.12</v>
      </c>
      <c r="J15" s="17">
        <v>0.13</v>
      </c>
      <c r="K15" s="17">
        <v>0.05</v>
      </c>
      <c r="L15" s="17">
        <v>0.14000000000000001</v>
      </c>
      <c r="M15" s="17">
        <v>0.3</v>
      </c>
      <c r="N15" s="25">
        <f t="shared" si="2"/>
        <v>1</v>
      </c>
      <c r="Q15">
        <v>119615</v>
      </c>
    </row>
    <row r="16" spans="1:17">
      <c r="B16" s="23"/>
      <c r="D16" s="17"/>
      <c r="E16" s="17"/>
      <c r="G16" s="23">
        <v>2015</v>
      </c>
      <c r="H16" s="17">
        <v>0.25</v>
      </c>
      <c r="I16" s="17">
        <v>0.12</v>
      </c>
      <c r="J16" s="17">
        <v>0.12</v>
      </c>
      <c r="K16" s="17">
        <v>0.05</v>
      </c>
      <c r="L16" s="17">
        <v>0.14000000000000001</v>
      </c>
      <c r="M16" s="17">
        <v>0.32</v>
      </c>
      <c r="N16" s="25">
        <f t="shared" si="2"/>
        <v>1</v>
      </c>
      <c r="Q16">
        <v>120417</v>
      </c>
    </row>
    <row r="17" spans="2:17">
      <c r="B17" s="23"/>
      <c r="D17" s="17"/>
      <c r="E17" s="17"/>
      <c r="G17" s="23">
        <v>2016</v>
      </c>
      <c r="H17" s="17">
        <v>0.24</v>
      </c>
      <c r="I17" s="17">
        <v>0.12</v>
      </c>
      <c r="J17" s="17">
        <v>0.12</v>
      </c>
      <c r="K17" s="17">
        <v>0.05</v>
      </c>
      <c r="L17" s="17">
        <v>0.14000000000000001</v>
      </c>
      <c r="M17" s="17">
        <v>0.33</v>
      </c>
      <c r="N17" s="25">
        <f t="shared" si="2"/>
        <v>1</v>
      </c>
      <c r="Q17">
        <v>120458</v>
      </c>
    </row>
    <row r="18" spans="2:17">
      <c r="B18" s="23"/>
      <c r="D18" s="17"/>
      <c r="E18" s="25"/>
      <c r="G18" s="23">
        <v>2017</v>
      </c>
      <c r="H18" s="17">
        <v>0.25</v>
      </c>
      <c r="I18" s="17">
        <v>0.12</v>
      </c>
      <c r="J18" s="17">
        <v>0.12</v>
      </c>
      <c r="K18" s="17">
        <v>0.05</v>
      </c>
      <c r="L18" s="17">
        <v>0.13</v>
      </c>
      <c r="M18" s="17">
        <v>0.33</v>
      </c>
      <c r="N18" s="25">
        <f t="shared" si="2"/>
        <v>1</v>
      </c>
      <c r="Q18">
        <v>120408</v>
      </c>
    </row>
    <row r="19" spans="2:17">
      <c r="B19" s="23"/>
      <c r="D19" s="17"/>
      <c r="E19" s="25"/>
      <c r="G19" s="23">
        <v>2018</v>
      </c>
      <c r="H19" s="17">
        <v>0.26</v>
      </c>
      <c r="I19" s="17">
        <v>0.12</v>
      </c>
      <c r="J19" s="17">
        <v>0.12</v>
      </c>
      <c r="K19" s="17">
        <v>0.05</v>
      </c>
      <c r="L19" s="17">
        <v>0.14000000000000001</v>
      </c>
      <c r="M19" s="17">
        <v>0.32</v>
      </c>
      <c r="N19" s="25">
        <f t="shared" si="2"/>
        <v>1.01</v>
      </c>
      <c r="Q19">
        <v>122220</v>
      </c>
    </row>
    <row r="20" spans="2:17">
      <c r="B20" s="23"/>
      <c r="D20" s="17"/>
      <c r="E20" s="25"/>
      <c r="G20" s="23">
        <v>2019</v>
      </c>
      <c r="H20" s="17">
        <v>0.22</v>
      </c>
      <c r="I20" s="17">
        <v>0.1</v>
      </c>
      <c r="J20" s="17">
        <v>0.1</v>
      </c>
      <c r="K20" s="17">
        <v>0.05</v>
      </c>
      <c r="L20" s="17">
        <v>0.13</v>
      </c>
      <c r="M20" s="17">
        <v>0.39</v>
      </c>
      <c r="N20" s="25">
        <f t="shared" si="2"/>
        <v>0.9900000000000001</v>
      </c>
      <c r="Q20">
        <v>123001</v>
      </c>
    </row>
    <row r="21" spans="2:17">
      <c r="B21" s="23"/>
      <c r="D21" s="17"/>
      <c r="E21" s="25"/>
      <c r="G21" s="23">
        <v>2020</v>
      </c>
      <c r="H21" s="17">
        <v>0.25</v>
      </c>
      <c r="I21" s="17">
        <v>0.09</v>
      </c>
      <c r="J21" s="17">
        <v>0.11</v>
      </c>
      <c r="K21" s="17">
        <v>0.06</v>
      </c>
      <c r="L21" s="17">
        <v>0.1</v>
      </c>
      <c r="M21" s="17">
        <v>0.39</v>
      </c>
      <c r="N21" s="25">
        <f t="shared" si="2"/>
        <v>1</v>
      </c>
      <c r="Q21">
        <v>114512</v>
      </c>
    </row>
    <row r="22" spans="2:17">
      <c r="B22" s="23"/>
      <c r="D22" s="17"/>
      <c r="E22" s="25"/>
      <c r="G22" s="23">
        <v>2021</v>
      </c>
      <c r="H22" s="17">
        <v>0.25</v>
      </c>
      <c r="I22" s="17">
        <v>0.09</v>
      </c>
      <c r="J22" s="17">
        <v>0.11</v>
      </c>
      <c r="K22" s="17">
        <v>0.05</v>
      </c>
      <c r="L22" s="17">
        <v>0.11</v>
      </c>
      <c r="M22" s="1">
        <v>0.39</v>
      </c>
      <c r="N22" s="25">
        <f t="shared" si="2"/>
        <v>1</v>
      </c>
      <c r="Q22">
        <v>120083</v>
      </c>
    </row>
    <row r="23" spans="2:17">
      <c r="B23" s="23"/>
      <c r="E23" s="24"/>
      <c r="G23" s="23"/>
      <c r="N23" s="24"/>
    </row>
    <row r="24" spans="2:17">
      <c r="B24" s="23"/>
      <c r="E24" s="24"/>
      <c r="G24" s="23"/>
      <c r="N24" s="24"/>
    </row>
    <row r="25" spans="2:17">
      <c r="B25" s="23" t="s">
        <v>527</v>
      </c>
      <c r="E25" s="24"/>
      <c r="G25" s="23" t="s">
        <v>527</v>
      </c>
      <c r="N25" s="24"/>
    </row>
    <row r="26" spans="2:17">
      <c r="B26" s="23"/>
      <c r="D26">
        <v>2021</v>
      </c>
      <c r="E26">
        <v>2016</v>
      </c>
      <c r="G26" s="23"/>
      <c r="H26" t="s">
        <v>510</v>
      </c>
      <c r="I26" t="s">
        <v>594</v>
      </c>
      <c r="J26" t="s">
        <v>512</v>
      </c>
      <c r="K26" t="s">
        <v>514</v>
      </c>
      <c r="L26" t="s">
        <v>515</v>
      </c>
      <c r="M26" t="s">
        <v>516</v>
      </c>
      <c r="N26" s="24" t="s">
        <v>517</v>
      </c>
    </row>
    <row r="27" spans="2:17">
      <c r="B27" s="23" t="s">
        <v>518</v>
      </c>
      <c r="C27" t="s">
        <v>510</v>
      </c>
      <c r="D27" s="17">
        <v>0.28000000000000003</v>
      </c>
      <c r="E27" s="17">
        <v>0.28999999999999998</v>
      </c>
      <c r="G27" s="23">
        <v>2005</v>
      </c>
      <c r="H27" s="17">
        <v>0.34</v>
      </c>
      <c r="I27" s="17">
        <v>0.03</v>
      </c>
      <c r="J27" s="17">
        <v>0.19</v>
      </c>
      <c r="K27" s="17">
        <v>7.0000000000000007E-2</v>
      </c>
      <c r="L27" s="17">
        <v>0.05</v>
      </c>
      <c r="M27" s="17">
        <v>0.32</v>
      </c>
      <c r="N27" s="25">
        <f t="shared" ref="N27:N34" si="3">SUM(H27:M27)</f>
        <v>1.0000000000000002</v>
      </c>
    </row>
    <row r="28" spans="2:17">
      <c r="B28" s="23" t="s">
        <v>596</v>
      </c>
      <c r="C28" t="s">
        <v>594</v>
      </c>
      <c r="D28" s="17">
        <v>0.06</v>
      </c>
      <c r="E28" s="17">
        <v>0.08</v>
      </c>
      <c r="G28" s="23">
        <v>2006</v>
      </c>
      <c r="H28" s="17">
        <v>0.33</v>
      </c>
      <c r="I28" s="17">
        <v>0.05</v>
      </c>
      <c r="J28" s="17">
        <v>0.17</v>
      </c>
      <c r="K28" s="17">
        <v>0.06</v>
      </c>
      <c r="L28" s="17">
        <v>0.06</v>
      </c>
      <c r="M28" s="17">
        <v>0.33</v>
      </c>
      <c r="N28" s="25">
        <f t="shared" si="3"/>
        <v>1.0000000000000002</v>
      </c>
    </row>
    <row r="29" spans="2:17">
      <c r="B29" s="23" t="s">
        <v>520</v>
      </c>
      <c r="C29" t="s">
        <v>512</v>
      </c>
      <c r="D29" s="17">
        <v>0.12</v>
      </c>
      <c r="E29" s="17">
        <v>0.15</v>
      </c>
      <c r="G29" s="23">
        <v>2007</v>
      </c>
      <c r="H29" s="19" t="s">
        <v>528</v>
      </c>
      <c r="I29" s="19"/>
      <c r="J29" s="19"/>
      <c r="K29" s="19"/>
      <c r="L29" s="19"/>
      <c r="M29" s="19"/>
      <c r="N29" s="50"/>
    </row>
    <row r="30" spans="2:17">
      <c r="B30" s="23" t="s">
        <v>524</v>
      </c>
      <c r="C30" t="s">
        <v>514</v>
      </c>
      <c r="D30" s="17">
        <v>0.06</v>
      </c>
      <c r="E30" s="17">
        <v>0.06</v>
      </c>
      <c r="G30" s="23">
        <v>2008</v>
      </c>
      <c r="H30" s="19"/>
      <c r="I30" s="19"/>
      <c r="J30" s="19"/>
      <c r="K30" s="19"/>
      <c r="L30" s="19"/>
      <c r="M30" s="19"/>
      <c r="N30" s="50"/>
    </row>
    <row r="31" spans="2:17">
      <c r="B31" s="23" t="s">
        <v>525</v>
      </c>
      <c r="C31" t="s">
        <v>515</v>
      </c>
      <c r="D31" s="17">
        <v>0.06</v>
      </c>
      <c r="E31" s="17">
        <v>7.0000000000000007E-2</v>
      </c>
      <c r="G31" s="23">
        <v>2009</v>
      </c>
      <c r="H31" s="19"/>
      <c r="I31" s="19"/>
      <c r="J31" s="19"/>
      <c r="K31" s="19"/>
      <c r="L31" s="19"/>
      <c r="M31" s="19"/>
      <c r="N31" s="50"/>
    </row>
    <row r="32" spans="2:17">
      <c r="B32" s="23" t="s">
        <v>526</v>
      </c>
      <c r="C32" t="s">
        <v>516</v>
      </c>
      <c r="D32" s="17">
        <v>0.34</v>
      </c>
      <c r="E32" s="17">
        <v>0.35</v>
      </c>
      <c r="G32" s="23">
        <v>2010</v>
      </c>
      <c r="H32" s="19"/>
      <c r="I32" s="19"/>
      <c r="J32" s="19"/>
      <c r="K32" s="19"/>
      <c r="L32" s="19"/>
      <c r="M32" s="19"/>
      <c r="N32" s="50"/>
    </row>
    <row r="33" spans="2:14">
      <c r="B33" s="26" t="s">
        <v>517</v>
      </c>
      <c r="C33" s="27"/>
      <c r="D33" s="28"/>
      <c r="E33" s="28">
        <f>SUM(E27:E32)</f>
        <v>1</v>
      </c>
      <c r="G33" s="23">
        <v>2011</v>
      </c>
      <c r="H33" s="19"/>
      <c r="I33" s="19"/>
      <c r="J33" s="19"/>
      <c r="K33" s="19"/>
      <c r="L33" s="19"/>
      <c r="M33" s="19"/>
      <c r="N33" s="50"/>
    </row>
    <row r="34" spans="2:14">
      <c r="G34" s="23">
        <v>2012</v>
      </c>
      <c r="H34" s="17">
        <v>0.3</v>
      </c>
      <c r="I34" s="17">
        <v>0.08</v>
      </c>
      <c r="J34" s="17">
        <v>0.15</v>
      </c>
      <c r="K34" s="17">
        <v>0.06</v>
      </c>
      <c r="L34" s="17">
        <v>0.08</v>
      </c>
      <c r="M34" s="17">
        <v>0.33</v>
      </c>
      <c r="N34" s="25">
        <f t="shared" si="3"/>
        <v>1</v>
      </c>
    </row>
    <row r="35" spans="2:14">
      <c r="G35" s="23">
        <v>2013</v>
      </c>
      <c r="H35" s="17">
        <v>0.3</v>
      </c>
      <c r="I35" s="17">
        <v>0.08</v>
      </c>
      <c r="J35" s="17">
        <v>0.16</v>
      </c>
      <c r="K35" s="17">
        <v>0.06</v>
      </c>
      <c r="L35" s="17">
        <v>0.08</v>
      </c>
      <c r="M35" s="17">
        <v>0.32</v>
      </c>
      <c r="N35" s="25">
        <f>SUM(H35:M35)</f>
        <v>1</v>
      </c>
    </row>
    <row r="36" spans="2:14">
      <c r="G36" s="23">
        <v>2014</v>
      </c>
      <c r="H36" s="17">
        <v>0.31</v>
      </c>
      <c r="I36" s="17">
        <v>0.08</v>
      </c>
      <c r="J36" s="17">
        <v>0.15</v>
      </c>
      <c r="K36" s="17">
        <v>0.06</v>
      </c>
      <c r="L36" s="17">
        <v>0.08</v>
      </c>
      <c r="M36" s="17">
        <v>0.32</v>
      </c>
      <c r="N36" s="25">
        <f>SUM(H36:M36)</f>
        <v>1</v>
      </c>
    </row>
    <row r="37" spans="2:14">
      <c r="G37" s="23">
        <v>2015</v>
      </c>
      <c r="H37" s="17">
        <v>0.28999999999999998</v>
      </c>
      <c r="I37" s="17">
        <v>0.08</v>
      </c>
      <c r="J37" s="17">
        <v>0.15</v>
      </c>
      <c r="K37" s="17">
        <v>0.06</v>
      </c>
      <c r="L37" s="17">
        <v>7.0000000000000007E-2</v>
      </c>
      <c r="M37" s="17">
        <v>0.35</v>
      </c>
      <c r="N37" s="25">
        <f>SUM(H37:M37)</f>
        <v>1</v>
      </c>
    </row>
    <row r="38" spans="2:14">
      <c r="G38" s="23">
        <v>2016</v>
      </c>
      <c r="H38" s="17">
        <v>0.28999999999999998</v>
      </c>
      <c r="I38" s="17">
        <v>0.08</v>
      </c>
      <c r="J38" s="17">
        <v>0.15</v>
      </c>
      <c r="K38" s="17">
        <v>0.06</v>
      </c>
      <c r="L38" s="17">
        <v>7.0000000000000007E-2</v>
      </c>
      <c r="M38" s="17">
        <v>0.35</v>
      </c>
      <c r="N38" s="25">
        <f>SUM(H38:M38)</f>
        <v>1</v>
      </c>
    </row>
    <row r="39" spans="2:14">
      <c r="G39" s="23">
        <v>2017</v>
      </c>
      <c r="H39" s="17">
        <v>0.3</v>
      </c>
      <c r="I39" s="17">
        <v>0.09</v>
      </c>
      <c r="J39" s="17">
        <v>0.14000000000000001</v>
      </c>
      <c r="K39" s="17">
        <v>0.06</v>
      </c>
      <c r="L39" s="17">
        <v>7.0000000000000007E-2</v>
      </c>
      <c r="M39" s="17">
        <v>0.34</v>
      </c>
      <c r="N39" s="25">
        <f>SUM(H39:M39)</f>
        <v>1.0000000000000002</v>
      </c>
    </row>
    <row r="40" spans="2:14">
      <c r="G40" s="23">
        <v>2018</v>
      </c>
      <c r="H40" s="17">
        <v>0.31</v>
      </c>
      <c r="I40" s="17">
        <v>0.09</v>
      </c>
      <c r="J40" s="17">
        <v>0.14000000000000001</v>
      </c>
      <c r="K40" s="17">
        <v>0.06</v>
      </c>
      <c r="L40" s="17">
        <v>7.0000000000000007E-2</v>
      </c>
      <c r="M40" s="17">
        <v>0.34</v>
      </c>
      <c r="N40" s="25">
        <f t="shared" ref="N40:N43" si="4">SUM(H40:M40)</f>
        <v>1.0100000000000002</v>
      </c>
    </row>
    <row r="41" spans="2:14">
      <c r="G41" s="23">
        <v>2019</v>
      </c>
      <c r="H41" s="17">
        <v>0.25</v>
      </c>
      <c r="I41" s="17">
        <v>7.0000000000000007E-2</v>
      </c>
      <c r="J41" s="17">
        <v>0.12</v>
      </c>
      <c r="K41" s="17">
        <v>0.06</v>
      </c>
      <c r="L41" s="17">
        <v>7.0000000000000007E-2</v>
      </c>
      <c r="M41" s="17">
        <v>0.43</v>
      </c>
      <c r="N41" s="25">
        <f t="shared" si="4"/>
        <v>1</v>
      </c>
    </row>
    <row r="42" spans="2:14">
      <c r="G42" s="23">
        <v>2020</v>
      </c>
      <c r="H42" s="17">
        <v>0.28000000000000003</v>
      </c>
      <c r="I42" s="17">
        <v>0.06</v>
      </c>
      <c r="J42" s="17">
        <v>0.12</v>
      </c>
      <c r="K42" s="17">
        <v>0.06</v>
      </c>
      <c r="L42" s="17">
        <v>0.05</v>
      </c>
      <c r="M42" s="17">
        <v>0.42</v>
      </c>
      <c r="N42" s="25">
        <f t="shared" si="4"/>
        <v>0.99</v>
      </c>
    </row>
    <row r="43" spans="2:14">
      <c r="G43" s="23">
        <v>2021</v>
      </c>
      <c r="H43" s="1">
        <v>0.28000000000000003</v>
      </c>
      <c r="I43" s="1">
        <v>0.06</v>
      </c>
      <c r="J43" s="1">
        <v>0.12</v>
      </c>
      <c r="K43" s="1">
        <v>0.06</v>
      </c>
      <c r="L43" s="1">
        <v>0.06</v>
      </c>
      <c r="M43" s="1">
        <v>0.42</v>
      </c>
      <c r="N43" s="25">
        <f t="shared" si="4"/>
        <v>1</v>
      </c>
    </row>
    <row r="44" spans="2:14">
      <c r="H44" s="17"/>
      <c r="I44" s="17"/>
      <c r="J44" s="17"/>
      <c r="K44" s="17"/>
      <c r="L44" s="17"/>
      <c r="M44" s="17"/>
      <c r="N44" s="17"/>
    </row>
    <row r="45" spans="2:14">
      <c r="G45" t="s">
        <v>529</v>
      </c>
    </row>
    <row r="46" spans="2:14">
      <c r="G46" t="s">
        <v>531</v>
      </c>
    </row>
    <row r="47" spans="2:14">
      <c r="H47" t="s">
        <v>598</v>
      </c>
    </row>
    <row r="48" spans="2:14">
      <c r="H48" t="s">
        <v>599</v>
      </c>
    </row>
    <row r="50" spans="7:25">
      <c r="H50" t="s">
        <v>600</v>
      </c>
    </row>
    <row r="51" spans="7:25">
      <c r="G51" t="s">
        <v>536</v>
      </c>
    </row>
    <row r="52" spans="7:25">
      <c r="G52" s="37" t="s">
        <v>537</v>
      </c>
      <c r="H52" s="38"/>
      <c r="I52" s="38"/>
      <c r="J52" s="38"/>
      <c r="K52" s="38"/>
      <c r="L52" s="38"/>
      <c r="M52" s="38"/>
      <c r="N52" s="39"/>
      <c r="R52" s="20" t="s">
        <v>538</v>
      </c>
      <c r="S52" s="21"/>
      <c r="T52" s="21"/>
      <c r="U52" s="21"/>
      <c r="V52" s="21"/>
      <c r="W52" s="21"/>
      <c r="X52" s="21"/>
      <c r="Y52" s="22"/>
    </row>
    <row r="53" spans="7:25">
      <c r="G53" s="40"/>
      <c r="H53" t="s">
        <v>510</v>
      </c>
      <c r="I53" t="s">
        <v>594</v>
      </c>
      <c r="J53" t="s">
        <v>512</v>
      </c>
      <c r="K53" t="s">
        <v>514</v>
      </c>
      <c r="L53" t="s">
        <v>515</v>
      </c>
      <c r="M53" t="s">
        <v>516</v>
      </c>
      <c r="N53" s="24" t="s">
        <v>517</v>
      </c>
      <c r="R53" s="23"/>
      <c r="S53" t="s">
        <v>540</v>
      </c>
      <c r="T53" t="s">
        <v>601</v>
      </c>
      <c r="U53" t="s">
        <v>542</v>
      </c>
      <c r="V53" t="s">
        <v>544</v>
      </c>
      <c r="W53" t="s">
        <v>545</v>
      </c>
      <c r="X53" t="s">
        <v>546</v>
      </c>
      <c r="Y53" s="24" t="s">
        <v>547</v>
      </c>
    </row>
    <row r="54" spans="7:25">
      <c r="G54" s="40">
        <v>2006</v>
      </c>
      <c r="H54" s="43">
        <f>(H7*Energy8Sec!$C7-Commercial8EndUse!H28*Energy8Sec!$C27)/(Energy8Sec!$C7-Energy8Sec!$C27)</f>
        <v>-3.1557602197447097E-2</v>
      </c>
      <c r="I54" s="43">
        <f>(I7*Energy8Sec!$C7-Commercial8EndUse!I28*Energy8Sec!$C27)/(Energy8Sec!$C7-Energy8Sec!$C27)</f>
        <v>0.23077880109872348</v>
      </c>
      <c r="J54" s="43">
        <f>(J7*Energy8Sec!$C7-Commercial8EndUse!J28*Energy8Sec!$C27)/(Energy8Sec!$C7-Energy8Sec!$C27)</f>
        <v>4.9480799267517493E-2</v>
      </c>
      <c r="K54" s="43">
        <f>(K7*Energy8Sec!$C7-Commercial8EndUse!K28*Energy8Sec!$C27)/(Energy8Sec!$C7-Energy8Sec!$C27)</f>
        <v>-2.5960036624111591E-4</v>
      </c>
      <c r="L54" s="43">
        <f>(L7*Energy8Sec!$C7-Commercial8EndUse!L28*Energy8Sec!$C27)/(Energy8Sec!$C7-Energy8Sec!$C27)</f>
        <v>0.60233640329617055</v>
      </c>
      <c r="M54" s="43">
        <f>(M7*Energy8Sec!$C7-Commercial8EndUse!M28*Energy8Sec!$C27)/(Energy8Sec!$C7-Energy8Sec!$C27)</f>
        <v>0.14922119890127628</v>
      </c>
      <c r="N54" s="44">
        <f>(N7*Energy8Sec!$C7-Commercial8EndUse!N28*Energy8Sec!$C27)/(Energy8Sec!$C7-Energy8Sec!$C27)</f>
        <v>0.99999999999999922</v>
      </c>
      <c r="R54" s="23">
        <v>2006</v>
      </c>
      <c r="S54" s="48">
        <v>0</v>
      </c>
      <c r="T54" s="48">
        <v>0.23077880109872348</v>
      </c>
      <c r="U54" s="48">
        <v>4.9480799267517493E-2</v>
      </c>
      <c r="V54" s="48">
        <v>-2.5960036624111591E-4</v>
      </c>
      <c r="W54" s="48">
        <v>0.60233640329617055</v>
      </c>
      <c r="X54" s="48">
        <f>Y54-SUM(S54:W54)</f>
        <v>0.11766359670382953</v>
      </c>
      <c r="Y54" s="25">
        <v>1</v>
      </c>
    </row>
    <row r="55" spans="7:25">
      <c r="G55" s="40">
        <v>2007</v>
      </c>
      <c r="H55" s="45" t="s">
        <v>602</v>
      </c>
      <c r="I55" s="45"/>
      <c r="J55" s="45"/>
      <c r="K55" s="45"/>
      <c r="L55" s="45"/>
      <c r="M55" s="45"/>
      <c r="N55" s="46"/>
      <c r="P55" t="s">
        <v>539</v>
      </c>
      <c r="R55" s="23">
        <v>2007</v>
      </c>
      <c r="S55" s="45" t="s">
        <v>602</v>
      </c>
      <c r="T55" s="51"/>
      <c r="U55" s="51"/>
      <c r="V55" s="51"/>
      <c r="W55" s="51"/>
      <c r="X55" s="51"/>
      <c r="Y55" s="52"/>
    </row>
    <row r="56" spans="7:25">
      <c r="G56" s="40">
        <v>2008</v>
      </c>
      <c r="H56" s="45"/>
      <c r="I56" s="45"/>
      <c r="J56" s="45"/>
      <c r="K56" s="45"/>
      <c r="L56" s="45"/>
      <c r="M56" s="45"/>
      <c r="N56" s="46"/>
      <c r="P56" t="s">
        <v>548</v>
      </c>
      <c r="R56" s="23">
        <v>2008</v>
      </c>
      <c r="S56" s="51"/>
      <c r="T56" s="51"/>
      <c r="U56" s="51"/>
      <c r="V56" s="51"/>
      <c r="W56" s="51"/>
      <c r="X56" s="51"/>
      <c r="Y56" s="52"/>
    </row>
    <row r="57" spans="7:25">
      <c r="G57" s="40">
        <v>2009</v>
      </c>
      <c r="H57" s="45"/>
      <c r="I57" s="45"/>
      <c r="J57" s="45"/>
      <c r="K57" s="45"/>
      <c r="L57" s="45"/>
      <c r="M57" s="45"/>
      <c r="N57" s="46"/>
      <c r="R57" s="23">
        <v>2009</v>
      </c>
      <c r="S57" s="51"/>
      <c r="T57" s="51"/>
      <c r="U57" s="51"/>
      <c r="V57" s="51"/>
      <c r="W57" s="51"/>
      <c r="X57" s="51"/>
      <c r="Y57" s="52"/>
    </row>
    <row r="58" spans="7:25">
      <c r="G58" s="40">
        <v>2010</v>
      </c>
      <c r="H58" s="45"/>
      <c r="I58" s="45"/>
      <c r="J58" s="45"/>
      <c r="K58" s="45"/>
      <c r="L58" s="45"/>
      <c r="M58" s="45"/>
      <c r="N58" s="46"/>
      <c r="P58" t="s">
        <v>603</v>
      </c>
      <c r="R58" s="23">
        <v>2010</v>
      </c>
      <c r="S58" s="51"/>
      <c r="T58" s="51"/>
      <c r="U58" s="51"/>
      <c r="V58" s="51"/>
      <c r="W58" s="51"/>
      <c r="X58" s="51"/>
      <c r="Y58" s="52"/>
    </row>
    <row r="59" spans="7:25">
      <c r="G59" s="40">
        <v>2011</v>
      </c>
      <c r="H59" s="45"/>
      <c r="I59" s="45"/>
      <c r="J59" s="45"/>
      <c r="K59" s="45"/>
      <c r="L59" s="45"/>
      <c r="M59" s="45"/>
      <c r="N59" s="46"/>
      <c r="P59" t="s">
        <v>550</v>
      </c>
      <c r="R59" s="23">
        <v>2011</v>
      </c>
      <c r="S59" s="51"/>
      <c r="T59" s="51"/>
      <c r="U59" s="51"/>
      <c r="V59" s="51"/>
      <c r="W59" s="51"/>
      <c r="X59" s="51"/>
      <c r="Y59" s="52"/>
    </row>
    <row r="60" spans="7:25">
      <c r="G60" s="40">
        <v>2012</v>
      </c>
      <c r="H60" s="43">
        <f>(H13*Energy8Sec!$C13-Commercial8EndUse!H34*Energy8Sec!$C33)/(Energy8Sec!$C13-Energy8Sec!$C33)</f>
        <v>-1.5733152372500801E-2</v>
      </c>
      <c r="I60" s="43">
        <f>(I13*Energy8Sec!$C13-Commercial8EndUse!I34*Energy8Sec!$C33)/(Energy8Sec!$C13-Energy8Sec!$C33)</f>
        <v>0.3325865218980007</v>
      </c>
      <c r="J60" s="43">
        <f>(J13*Energy8Sec!$C13-Commercial8EndUse!J34*Energy8Sec!$C33)/(Energy8Sec!$C13-Energy8Sec!$C33)</f>
        <v>2.3706739050999709E-2</v>
      </c>
      <c r="K60" s="43">
        <f>(K13*Energy8Sec!$C13-Commercial8EndUse!K34*Energy8Sec!$C33)/(Energy8Sec!$C13-Energy8Sec!$C33)</f>
        <v>-3.1466304745001693E-3</v>
      </c>
      <c r="L60" s="43">
        <f>(L13*Energy8Sec!$C13-Commercial8EndUse!L34*Energy8Sec!$C33)/(Energy8Sec!$C13-Energy8Sec!$C33)</f>
        <v>0.45887978284700121</v>
      </c>
      <c r="M60" s="43">
        <f>(M13*Energy8Sec!$C13-Commercial8EndUse!M34*Energy8Sec!$C33)/(Energy8Sec!$C13-Energy8Sec!$C33)</f>
        <v>0.20370673905099942</v>
      </c>
      <c r="N60" s="44">
        <f>(N13*Energy8Sec!$C13-Commercial8EndUse!N34*Energy8Sec!$C33)/(Energy8Sec!$C13-Energy8Sec!$C33)</f>
        <v>1</v>
      </c>
      <c r="R60" s="23">
        <v>2012</v>
      </c>
      <c r="S60" s="48">
        <v>0</v>
      </c>
      <c r="T60" s="48">
        <v>0.3325865218980007</v>
      </c>
      <c r="U60" s="48">
        <v>2.3706739050999709E-2</v>
      </c>
      <c r="V60" s="48">
        <v>0</v>
      </c>
      <c r="W60" s="48">
        <v>0.45887978284700121</v>
      </c>
      <c r="X60" s="48">
        <f>Y60-SUM(S60:W60)</f>
        <v>0.18482695620399836</v>
      </c>
      <c r="Y60" s="25">
        <v>1</v>
      </c>
    </row>
    <row r="61" spans="7:25">
      <c r="G61" s="40">
        <v>2013</v>
      </c>
      <c r="H61" s="43">
        <f>(H14*Energy8Sec!$C14-Commercial8EndUse!H35*Energy8Sec!$C34)/(Energy8Sec!$C14-Energy8Sec!$C34)</f>
        <v>5.4314669369141193E-2</v>
      </c>
      <c r="I61" s="43">
        <f>(I14*Energy8Sec!$C14-Commercial8EndUse!I35*Energy8Sec!$C34)/(Energy8Sec!$C14-Energy8Sec!$C34)</f>
        <v>0.3256853306308588</v>
      </c>
      <c r="J61" s="43">
        <f>(J14*Energy8Sec!$C14-Commercial8EndUse!J35*Energy8Sec!$C34)/(Energy8Sec!$C14-Energy8Sec!$C34)</f>
        <v>-2.4263997973144179E-2</v>
      </c>
      <c r="K61" s="43">
        <f>(K14*Energy8Sec!$C14-Commercial8EndUse!K35*Energy8Sec!$C34)/(Energy8Sec!$C14-Energy8Sec!$C34)</f>
        <v>-1.4213326577147292E-3</v>
      </c>
      <c r="L61" s="43">
        <f>(L14*Energy8Sec!$C14-Commercial8EndUse!L35*Energy8Sec!$C34)/(Energy8Sec!$C14-Energy8Sec!$C34)</f>
        <v>0.44852799594628834</v>
      </c>
      <c r="M61" s="43">
        <f>(M14*Energy8Sec!$C14-Commercial8EndUse!M35*Energy8Sec!$C34)/(Energy8Sec!$C14-Energy8Sec!$C34)</f>
        <v>0.19715733468457045</v>
      </c>
      <c r="N61" s="44">
        <f>(N14*Energy8Sec!$C14-Commercial8EndUse!N35*Energy8Sec!$C34)/(Energy8Sec!$C14-Energy8Sec!$C34)</f>
        <v>1</v>
      </c>
      <c r="R61" s="23">
        <v>2013</v>
      </c>
      <c r="S61" s="48">
        <v>0</v>
      </c>
      <c r="T61" s="48">
        <v>0.3256853306308588</v>
      </c>
      <c r="U61" s="48">
        <v>0</v>
      </c>
      <c r="V61" s="48">
        <v>0</v>
      </c>
      <c r="W61" s="48">
        <v>0.44852799594628834</v>
      </c>
      <c r="X61" s="48">
        <f>Y61-SUM(S61:W61)</f>
        <v>0.22578667342285286</v>
      </c>
      <c r="Y61" s="25">
        <v>1</v>
      </c>
    </row>
    <row r="62" spans="7:25">
      <c r="G62" s="40">
        <v>2014</v>
      </c>
      <c r="H62" s="43">
        <f>(H15*Energy8Sec!$C15-Commercial8EndUse!H36*Energy8Sec!$C35)/(Energy8Sec!$C15-Energy8Sec!$C35)</f>
        <v>4.5055765783709222E-3</v>
      </c>
      <c r="I62" s="43">
        <f>(I15*Energy8Sec!$C15-Commercial8EndUse!I36*Energy8Sec!$C35)/(Energy8Sec!$C15-Energy8Sec!$C35)</f>
        <v>0.32439553873730331</v>
      </c>
      <c r="J62" s="43">
        <f>(J15*Energy8Sec!$C15-Commercial8EndUse!J36*Energy8Sec!$C35)/(Energy8Sec!$C15-Energy8Sec!$C35)</f>
        <v>2.7802230631348387E-2</v>
      </c>
      <c r="K62" s="43">
        <f>(K15*Energy8Sec!$C15-Commercial8EndUse!K36*Energy8Sec!$C35)/(Energy8Sec!$C15-Energy8Sec!$C35)</f>
        <v>-1.098884684325817E-3</v>
      </c>
      <c r="L62" s="43">
        <f>(L15*Energy8Sec!$C15-Commercial8EndUse!L36*Energy8Sec!$C35)/(Energy8Sec!$C15-Energy8Sec!$C35)</f>
        <v>0.44659330810595504</v>
      </c>
      <c r="M62" s="43">
        <f>(M15*Energy8Sec!$C15-Commercial8EndUse!M36*Energy8Sec!$C35)/(Energy8Sec!$C15-Energy8Sec!$C35)</f>
        <v>0.19780223063134814</v>
      </c>
      <c r="N62" s="44">
        <f>(N15*Energy8Sec!$C15-Commercial8EndUse!N36*Energy8Sec!$C35)/(Energy8Sec!$C15-Energy8Sec!$C35)</f>
        <v>1</v>
      </c>
      <c r="R62" s="23">
        <v>2014</v>
      </c>
      <c r="S62" s="48">
        <v>0</v>
      </c>
      <c r="T62" s="48">
        <v>0.32439553873730331</v>
      </c>
      <c r="U62" s="48">
        <v>2.7802230631348387E-2</v>
      </c>
      <c r="V62" s="48">
        <v>0</v>
      </c>
      <c r="W62" s="48">
        <v>0.44659330810595504</v>
      </c>
      <c r="X62" s="48">
        <f>Y62-SUM(S62:W62)</f>
        <v>0.20120892252539324</v>
      </c>
      <c r="Y62" s="25">
        <v>1</v>
      </c>
    </row>
    <row r="63" spans="7:25">
      <c r="G63" s="40">
        <v>2015</v>
      </c>
      <c r="H63" s="43">
        <f>(H16*Energy8Sec!$C16-Commercial8EndUse!H37*Energy8Sec!$C36)/(Energy8Sec!$C16-Energy8Sec!$C36)</f>
        <v>4.2416795956158472E-2</v>
      </c>
      <c r="I63" s="43">
        <f>(I16*Energy8Sec!$C16-Commercial8EndUse!I37*Energy8Sec!$C36)/(Energy8Sec!$C16-Energy8Sec!$C36)</f>
        <v>0.32758320404384156</v>
      </c>
      <c r="J63" s="43">
        <f>(J16*Energy8Sec!$C16-Commercial8EndUse!J37*Energy8Sec!$C36)/(Energy8Sec!$C16-Energy8Sec!$C36)</f>
        <v>-3.5687403032881225E-2</v>
      </c>
      <c r="K63" s="43">
        <f>(K16*Energy8Sec!$C16-Commercial8EndUse!K37*Energy8Sec!$C36)/(Energy8Sec!$C16-Energy8Sec!$C36)</f>
        <v>-1.8958010109603723E-3</v>
      </c>
      <c r="L63" s="43">
        <f>(L16*Energy8Sec!$C16-Commercial8EndUse!L37*Energy8Sec!$C36)/(Energy8Sec!$C16-Energy8Sec!$C36)</f>
        <v>0.50327060707672278</v>
      </c>
      <c r="M63" s="43">
        <f>(M16*Energy8Sec!$C16-Commercial8EndUse!M37*Energy8Sec!$C36)/(Energy8Sec!$C16-Energy8Sec!$C36)</f>
        <v>0.164312596967119</v>
      </c>
      <c r="N63" s="44">
        <f>(N16*Energy8Sec!$C16-Commercial8EndUse!N37*Energy8Sec!$C36)/(Energy8Sec!$C16-Energy8Sec!$C36)</f>
        <v>1</v>
      </c>
      <c r="R63" s="23">
        <v>2015</v>
      </c>
      <c r="S63" s="48">
        <v>0</v>
      </c>
      <c r="T63" s="48">
        <v>0.32758320404384156</v>
      </c>
      <c r="U63" s="48">
        <v>0</v>
      </c>
      <c r="V63" s="48">
        <v>0</v>
      </c>
      <c r="W63" s="48">
        <v>0.50327060707672278</v>
      </c>
      <c r="X63" s="48">
        <f>Y63-SUM(S63:W63)</f>
        <v>0.16914618887943567</v>
      </c>
      <c r="Y63" s="25">
        <v>1</v>
      </c>
    </row>
    <row r="64" spans="7:25">
      <c r="G64" s="40">
        <v>2016</v>
      </c>
      <c r="H64" s="43">
        <f>(H17*Energy8Sec!$C17-Commercial8EndUse!H38*Energy8Sec!$C37)/(Energy8Sec!$C17-Energy8Sec!$C37)</f>
        <v>-1.8564814814814829E-2</v>
      </c>
      <c r="I64" s="43">
        <f>(I17*Energy8Sec!$C17-Commercial8EndUse!I38*Energy8Sec!$C37)/(Energy8Sec!$C17-Energy8Sec!$C37)</f>
        <v>0.32685185185185184</v>
      </c>
      <c r="J64" s="43">
        <f>(J17*Energy8Sec!$C17-Commercial8EndUse!J38*Energy8Sec!$C37)/(Energy8Sec!$C17-Energy8Sec!$C37)</f>
        <v>-3.5138888888888928E-2</v>
      </c>
      <c r="K64" s="43">
        <f>(K17*Energy8Sec!$C17-Commercial8EndUse!K38*Energy8Sec!$C37)/(Energy8Sec!$C17-Energy8Sec!$C37)</f>
        <v>-1.7129629629629105E-3</v>
      </c>
      <c r="L64" s="43">
        <f>(L17*Energy8Sec!$C17-Commercial8EndUse!L38*Energy8Sec!$C37)/(Energy8Sec!$C17-Energy8Sec!$C37)</f>
        <v>0.50199074074074068</v>
      </c>
      <c r="M64" s="43">
        <f>(M17*Energy8Sec!$C17-Commercial8EndUse!M38*Energy8Sec!$C37)/(Energy8Sec!$C17-Energy8Sec!$C37)</f>
        <v>0.22657407407407434</v>
      </c>
      <c r="N64" s="44">
        <f>(N17*Energy8Sec!$C17-Commercial8EndUse!N38*Energy8Sec!$C37)/(Energy8Sec!$C17-Energy8Sec!$C37)</f>
        <v>1</v>
      </c>
      <c r="R64" s="23">
        <v>2016</v>
      </c>
      <c r="S64" s="48">
        <v>0</v>
      </c>
      <c r="T64" s="48">
        <v>0.32685185185185184</v>
      </c>
      <c r="U64" s="48">
        <v>0</v>
      </c>
      <c r="V64" s="48">
        <v>0</v>
      </c>
      <c r="W64" s="48">
        <v>0.50199074074074068</v>
      </c>
      <c r="X64" s="48">
        <f>$Y64-SUM($S64:$W64)</f>
        <v>0.17115740740740748</v>
      </c>
      <c r="Y64" s="25">
        <v>1</v>
      </c>
    </row>
    <row r="65" spans="7:25">
      <c r="G65" s="40">
        <v>2017</v>
      </c>
      <c r="H65" s="43">
        <f>(H18*Energy8Sec!$C18-Commercial8EndUse!H39*Energy8Sec!$C38)/(Energy8Sec!$C18-Energy8Sec!$C38)</f>
        <v>-8.2514772221869051E-2</v>
      </c>
      <c r="I65" s="43">
        <f>(I18*Energy8Sec!$C18-Commercial8EndUse!I39*Energy8Sec!$C38)/(Energy8Sec!$C18-Energy8Sec!$C38)</f>
        <v>0.31950886333312156</v>
      </c>
      <c r="J65" s="43">
        <f>(J18*Energy8Sec!$C18-Commercial8EndUse!J39*Energy8Sec!$C38)/(Energy8Sec!$C18-Energy8Sec!$C38)</f>
        <v>-1.3005908888747858E-2</v>
      </c>
      <c r="K65" s="43">
        <f>(K18*Energy8Sec!$C18-Commercial8EndUse!K39*Energy8Sec!$C38)/(Energy8Sec!$C18-Energy8Sec!$C38)</f>
        <v>-1.6502954444373778E-2</v>
      </c>
      <c r="L65" s="43">
        <f>(L18*Energy8Sec!$C18-Commercial8EndUse!L39*Energy8Sec!$C38)/(Energy8Sec!$C18-Energy8Sec!$C38)</f>
        <v>0.52901772666624303</v>
      </c>
      <c r="M65" s="43">
        <f>(M18*Energy8Sec!$C18-Commercial8EndUse!M39*Energy8Sec!$C38)/(Energy8Sec!$C18-Energy8Sec!$C38)</f>
        <v>0.2634970455556262</v>
      </c>
      <c r="N65" s="44">
        <f>(N18*Energy8Sec!$C18-Commercial8EndUse!N39*Energy8Sec!$C38)/(Energy8Sec!$C18-Energy8Sec!$C38)</f>
        <v>0.99999999999999811</v>
      </c>
      <c r="R65" s="23">
        <v>2017</v>
      </c>
      <c r="S65" s="48">
        <v>0</v>
      </c>
      <c r="T65" s="48">
        <v>0.32</v>
      </c>
      <c r="U65" s="48">
        <v>0</v>
      </c>
      <c r="V65" s="48">
        <v>0</v>
      </c>
      <c r="W65" s="48">
        <v>0.52900000000000003</v>
      </c>
      <c r="X65" s="48">
        <f>$Y65-SUM($S65:$W65)</f>
        <v>0.15100000000000002</v>
      </c>
      <c r="Y65" s="25">
        <v>1</v>
      </c>
    </row>
    <row r="66" spans="7:25">
      <c r="G66" s="40">
        <v>2018</v>
      </c>
      <c r="H66" s="43">
        <f>(H19*Energy8Sec!$C19-Commercial8EndUse!H40*Energy8Sec!$C39)/(Energy8Sec!$C19-Energy8Sec!$C39)</f>
        <v>-7.363990206541518E-2</v>
      </c>
      <c r="I66" s="43">
        <f>(I19*Energy8Sec!$C19-Commercial8EndUse!I40*Energy8Sec!$C39)/(Energy8Sec!$C19-Energy8Sec!$C39)</f>
        <v>0.32018394123924909</v>
      </c>
      <c r="J66" s="43">
        <f>(J19*Energy8Sec!$C19-Commercial8EndUse!J40*Energy8Sec!$C39)/(Energy8Sec!$C19-Energy8Sec!$C39)</f>
        <v>-1.3455960826166236E-2</v>
      </c>
      <c r="K66" s="43">
        <f>(K19*Energy8Sec!$C19-Commercial8EndUse!K40*Energy8Sec!$C39)/(Energy8Sec!$C19-Energy8Sec!$C39)</f>
        <v>-1.6727980413083057E-2</v>
      </c>
      <c r="L66" s="43">
        <f>(L19*Energy8Sec!$C19-Commercial8EndUse!L40*Energy8Sec!$C39)/(Energy8Sec!$C19-Energy8Sec!$C39)</f>
        <v>0.60709586289158157</v>
      </c>
      <c r="M66" s="43">
        <f>(M19*Energy8Sec!$C19-Commercial8EndUse!M40*Energy8Sec!$C39)/(Energy8Sec!$C19-Energy8Sec!$C39)</f>
        <v>0.18654403917383383</v>
      </c>
      <c r="N66" s="44">
        <f>(N19*Energy8Sec!$C19-Commercial8EndUse!N40*Energy8Sec!$C39)/(Energy8Sec!$C19-Energy8Sec!$C39)</f>
        <v>1.0099999999999987</v>
      </c>
      <c r="R66" s="23">
        <v>2018</v>
      </c>
      <c r="S66" s="48">
        <v>0</v>
      </c>
      <c r="T66" s="48">
        <v>0.32</v>
      </c>
      <c r="U66" s="48">
        <v>0</v>
      </c>
      <c r="V66" s="48">
        <v>0</v>
      </c>
      <c r="W66" s="48">
        <v>0.60699999999999998</v>
      </c>
      <c r="X66" s="48">
        <f t="shared" ref="X66:X69" si="5">$Y66-SUM($S66:$W66)</f>
        <v>7.2999999999999954E-2</v>
      </c>
      <c r="Y66" s="25">
        <v>1</v>
      </c>
    </row>
    <row r="67" spans="7:25">
      <c r="G67" s="40">
        <v>2019</v>
      </c>
      <c r="H67" s="43">
        <f>(H20*Energy8Sec!$C20-Commercial8EndUse!H41*Energy8Sec!$C40)/(Energy8Sec!$C20-Energy8Sec!$C40)</f>
        <v>4.2110171184973795E-3</v>
      </c>
      <c r="I67" s="43">
        <f>(I20*Energy8Sec!$C20-Commercial8EndUse!I41*Energy8Sec!$C40)/(Energy8Sec!$C20-Energy8Sec!$C40)</f>
        <v>0.31578898288150264</v>
      </c>
      <c r="J67" s="43">
        <f>(J20*Energy8Sec!$C20-Commercial8EndUse!J41*Energy8Sec!$C40)/(Energy8Sec!$C20-Energy8Sec!$C40)</f>
        <v>-4.385932192100174E-2</v>
      </c>
      <c r="K67" s="43">
        <f>(K20*Energy8Sec!$C20-Commercial8EndUse!K41*Energy8Sec!$C40)/(Energy8Sec!$C20-Energy8Sec!$C40)</f>
        <v>-2.192966096050087E-2</v>
      </c>
      <c r="L67" s="43">
        <f>(L20*Energy8Sec!$C20-Commercial8EndUse!L41*Energy8Sec!$C40)/(Energy8Sec!$C20-Energy8Sec!$C40)</f>
        <v>0.56157796576300545</v>
      </c>
      <c r="M67" s="43">
        <f>(M20*Energy8Sec!$C20-Commercial8EndUse!M41*Energy8Sec!$C40)/(Energy8Sec!$C20-Energy8Sec!$C40)</f>
        <v>0.10228135615799659</v>
      </c>
      <c r="N67" s="44">
        <f>(N20*Energy8Sec!$C20-Commercial8EndUse!N41*Energy8Sec!$C40)/(Energy8Sec!$C20-Energy8Sec!$C40)</f>
        <v>0.91807033903950042</v>
      </c>
      <c r="R67" s="23">
        <v>2019</v>
      </c>
      <c r="S67" s="48">
        <v>4.0000000000000001E-3</v>
      </c>
      <c r="T67" s="48">
        <v>0.316</v>
      </c>
      <c r="U67" s="48">
        <v>0</v>
      </c>
      <c r="V67" s="48">
        <v>0</v>
      </c>
      <c r="W67" s="48">
        <v>0.56200000000000006</v>
      </c>
      <c r="X67" s="48">
        <f t="shared" si="5"/>
        <v>0.11799999999999988</v>
      </c>
      <c r="Y67" s="25">
        <v>1</v>
      </c>
    </row>
    <row r="68" spans="7:25">
      <c r="G68" s="40">
        <v>2020</v>
      </c>
      <c r="H68" s="43">
        <f>(H21*Energy8Sec!$C21-Commercial8EndUse!H42*Energy8Sec!$C41)/(Energy8Sec!$C21-Energy8Sec!$C41)</f>
        <v>1.7205346294044523E-3</v>
      </c>
      <c r="I68" s="43">
        <f>(I21*Energy8Sec!$C21-Commercial8EndUse!I42*Energy8Sec!$C41)/(Energy8Sec!$C21-Energy8Sec!$C41)</f>
        <v>0.33827946537059539</v>
      </c>
      <c r="J68" s="43">
        <f>(J21*Energy8Sec!$C21-Commercial8EndUse!J42*Energy8Sec!$C41)/(Energy8Sec!$C21-Energy8Sec!$C41)</f>
        <v>2.7240178209801593E-2</v>
      </c>
      <c r="K68" s="43">
        <f>(K21*Energy8Sec!$C21-Commercial8EndUse!K42*Energy8Sec!$C41)/(Energy8Sec!$C21-Energy8Sec!$C41)</f>
        <v>5.9999999999999984E-2</v>
      </c>
      <c r="L68" s="43">
        <f>(L21*Energy8Sec!$C21-Commercial8EndUse!L42*Energy8Sec!$C41)/(Energy8Sec!$C21-Energy8Sec!$C41)</f>
        <v>0.51379910895099234</v>
      </c>
      <c r="M68" s="43">
        <f>(M21*Energy8Sec!$C21-Commercial8EndUse!M42*Energy8Sec!$C41)/(Energy8Sec!$C21-Energy8Sec!$C41)</f>
        <v>0.14172053462940468</v>
      </c>
      <c r="N68" s="44">
        <f>(N21*Energy8Sec!$C21-Commercial8EndUse!N42*Energy8Sec!$C41)/(Energy8Sec!$C21-Energy8Sec!$C41)</f>
        <v>1.0827598217901984</v>
      </c>
      <c r="R68" s="23">
        <v>2020</v>
      </c>
      <c r="S68" s="48">
        <v>2E-3</v>
      </c>
      <c r="T68" s="48">
        <v>0.33850000000000002</v>
      </c>
      <c r="U68" s="48">
        <v>2.7E-2</v>
      </c>
      <c r="V68" s="48">
        <v>0.06</v>
      </c>
      <c r="W68" s="48">
        <v>0.51400000000000001</v>
      </c>
      <c r="X68" s="48">
        <f t="shared" si="5"/>
        <v>5.8499999999999996E-2</v>
      </c>
      <c r="Y68" s="25">
        <v>1</v>
      </c>
    </row>
    <row r="69" spans="7:25">
      <c r="G69" s="40">
        <v>2021</v>
      </c>
      <c r="H69" s="43">
        <f>(H22*Energy8Sec!$C22-Commercial8EndUse!H43*Energy8Sec!$C42)/(Energy8Sec!$C22-Energy8Sec!$C42)</f>
        <v>-5.022191076854602E-4</v>
      </c>
      <c r="I69" s="43">
        <f>(I22*Energy8Sec!$C22-Commercial8EndUse!I43*Energy8Sec!$C42)/(Energy8Sec!$C22-Energy8Sec!$C42)</f>
        <v>0.34050221910768508</v>
      </c>
      <c r="J69" s="43">
        <f>(J22*Energy8Sec!$C22-Commercial8EndUse!J43*Energy8Sec!$C42)/(Energy8Sec!$C22-Energy8Sec!$C42)</f>
        <v>2.6499260297438286E-2</v>
      </c>
      <c r="K69" s="43">
        <f>(K22*Energy8Sec!$C22-Commercial8EndUse!K43*Energy8Sec!$C42)/(Energy8Sec!$C22-Energy8Sec!$C42)</f>
        <v>-3.3500739702561635E-2</v>
      </c>
      <c r="L69" s="43">
        <f>(L22*Energy8Sec!$C22-Commercial8EndUse!L43*Energy8Sec!$C42)/(Energy8Sec!$C22-Energy8Sec!$C42)</f>
        <v>0.52750369851280854</v>
      </c>
      <c r="M69" s="43">
        <f>(M22*Energy8Sec!$C22-Commercial8EndUse!M43*Energy8Sec!$C42)/(Energy8Sec!$C22-Energy8Sec!$C42)</f>
        <v>0.13949778089231543</v>
      </c>
      <c r="N69" s="44">
        <f>(N22*Energy8Sec!$C22-Commercial8EndUse!N43*Energy8Sec!$C42)/(Energy8Sec!$C22-Energy8Sec!$C42)</f>
        <v>1</v>
      </c>
      <c r="R69" s="26">
        <v>2021</v>
      </c>
      <c r="S69" s="49">
        <v>0</v>
      </c>
      <c r="T69" s="49">
        <v>0.34100000000000003</v>
      </c>
      <c r="U69" s="49">
        <v>2.5999999999999999E-2</v>
      </c>
      <c r="V69" s="49">
        <v>0</v>
      </c>
      <c r="W69" s="49">
        <v>0.52800000000000002</v>
      </c>
      <c r="X69" s="48">
        <f t="shared" si="5"/>
        <v>0.10499999999999998</v>
      </c>
      <c r="Y69" s="548">
        <v>1</v>
      </c>
    </row>
    <row r="72" spans="7:25">
      <c r="G72" t="s">
        <v>604</v>
      </c>
    </row>
    <row r="73" spans="7:25">
      <c r="G73" t="s">
        <v>605</v>
      </c>
    </row>
    <row r="74" spans="7:25">
      <c r="G74" t="s">
        <v>606</v>
      </c>
    </row>
  </sheetData>
  <phoneticPr fontId="3"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4"/>
  <sheetViews>
    <sheetView showGridLines="0" zoomScale="82" workbookViewId="0">
      <selection activeCell="J5" sqref="J5"/>
    </sheetView>
  </sheetViews>
  <sheetFormatPr defaultColWidth="8.7265625" defaultRowHeight="14.5"/>
  <cols>
    <col min="1" max="1" width="3.26953125" bestFit="1" customWidth="1"/>
    <col min="2" max="2" width="25.81640625" customWidth="1"/>
    <col min="3" max="3" width="17.26953125" customWidth="1"/>
    <col min="4" max="4" width="22.7265625" customWidth="1"/>
    <col min="5" max="5" width="33.453125" bestFit="1" customWidth="1"/>
    <col min="6" max="6" width="28.81640625" customWidth="1"/>
    <col min="7" max="7" width="7.81640625" customWidth="1"/>
    <col min="8" max="8" width="8.1796875" customWidth="1"/>
  </cols>
  <sheetData>
    <row r="1" spans="1:10" ht="60" customHeight="1" thickBot="1">
      <c r="A1" s="600" t="s">
        <v>607</v>
      </c>
      <c r="B1" s="600"/>
      <c r="C1" s="600"/>
      <c r="D1" s="600"/>
      <c r="E1" s="600"/>
      <c r="F1" s="600"/>
      <c r="J1" t="s">
        <v>608</v>
      </c>
    </row>
    <row r="2" spans="1:10" ht="18.75" customHeight="1" thickBot="1">
      <c r="A2" s="601"/>
      <c r="B2" s="602"/>
      <c r="C2" s="603"/>
      <c r="D2" s="607" t="s">
        <v>609</v>
      </c>
      <c r="E2" s="608"/>
      <c r="F2" s="608"/>
      <c r="G2" s="608"/>
      <c r="H2" s="609"/>
    </row>
    <row r="3" spans="1:10" ht="16" thickBot="1">
      <c r="A3" s="604"/>
      <c r="B3" s="605"/>
      <c r="C3" s="606"/>
      <c r="D3" s="607" t="s">
        <v>610</v>
      </c>
      <c r="E3" s="608"/>
      <c r="F3" s="608"/>
      <c r="G3" s="608"/>
      <c r="H3" s="609"/>
    </row>
    <row r="4" spans="1:10" ht="16" thickBot="1">
      <c r="A4" s="610" t="s">
        <v>481</v>
      </c>
      <c r="B4" s="611"/>
      <c r="C4" s="612"/>
      <c r="D4" s="610" t="s">
        <v>611</v>
      </c>
      <c r="E4" s="611"/>
      <c r="F4" s="611"/>
      <c r="G4" s="611"/>
      <c r="H4" s="612"/>
    </row>
    <row r="5" spans="1:10" ht="31.5" thickBot="1">
      <c r="A5" s="610" t="s">
        <v>612</v>
      </c>
      <c r="B5" s="611"/>
      <c r="C5" s="612"/>
      <c r="D5" s="136" t="s">
        <v>613</v>
      </c>
      <c r="E5" s="136" t="s">
        <v>614</v>
      </c>
      <c r="F5" s="136" t="s">
        <v>615</v>
      </c>
      <c r="G5" s="136" t="s">
        <v>546</v>
      </c>
      <c r="H5" s="137" t="s">
        <v>616</v>
      </c>
    </row>
    <row r="6" spans="1:10" ht="31.5" thickBot="1">
      <c r="A6" s="613" t="s">
        <v>617</v>
      </c>
      <c r="B6" s="614"/>
      <c r="C6" s="138" t="s">
        <v>618</v>
      </c>
      <c r="D6" s="615"/>
      <c r="E6" s="616"/>
      <c r="F6" s="616"/>
      <c r="G6" s="616"/>
      <c r="H6" s="617"/>
    </row>
    <row r="7" spans="1:10" ht="16" thickBot="1">
      <c r="A7" s="587" t="s">
        <v>619</v>
      </c>
      <c r="B7" s="588"/>
      <c r="C7" s="138" t="s">
        <v>620</v>
      </c>
      <c r="D7" s="139">
        <v>25</v>
      </c>
      <c r="E7" s="139" t="s">
        <v>485</v>
      </c>
      <c r="F7" s="139">
        <v>35</v>
      </c>
      <c r="G7" s="139">
        <v>19</v>
      </c>
      <c r="H7" s="140">
        <v>34</v>
      </c>
    </row>
    <row r="8" spans="1:10" ht="16" thickBot="1">
      <c r="A8" s="589"/>
      <c r="B8" s="590"/>
      <c r="C8" s="138" t="s">
        <v>621</v>
      </c>
      <c r="D8" s="139">
        <v>13.5</v>
      </c>
      <c r="E8" s="139" t="s">
        <v>485</v>
      </c>
      <c r="F8" s="139">
        <v>20</v>
      </c>
      <c r="G8" s="139">
        <v>21.5</v>
      </c>
      <c r="H8" s="140">
        <v>19.5</v>
      </c>
    </row>
    <row r="9" spans="1:10" ht="16" thickBot="1">
      <c r="A9" s="589"/>
      <c r="B9" s="590"/>
      <c r="C9" s="138" t="s">
        <v>622</v>
      </c>
      <c r="D9" s="139">
        <v>11.3</v>
      </c>
      <c r="E9" s="139" t="s">
        <v>485</v>
      </c>
      <c r="F9" s="139">
        <v>14.3</v>
      </c>
      <c r="G9" s="139">
        <v>12</v>
      </c>
      <c r="H9" s="140">
        <v>14.3</v>
      </c>
    </row>
    <row r="10" spans="1:10" ht="16" thickBot="1">
      <c r="A10" s="589"/>
      <c r="B10" s="590"/>
      <c r="C10" s="138" t="s">
        <v>623</v>
      </c>
      <c r="D10" s="139">
        <v>8.8000000000000007</v>
      </c>
      <c r="E10" s="139" t="s">
        <v>485</v>
      </c>
      <c r="F10" s="139">
        <v>12.3</v>
      </c>
      <c r="G10" s="139">
        <v>13.5</v>
      </c>
      <c r="H10" s="140">
        <v>11.8</v>
      </c>
    </row>
    <row r="11" spans="1:10" ht="16" thickBot="1">
      <c r="A11" s="589"/>
      <c r="B11" s="590"/>
      <c r="C11" s="138" t="s">
        <v>624</v>
      </c>
      <c r="D11" s="139">
        <v>7.2</v>
      </c>
      <c r="E11" s="139" t="s">
        <v>485</v>
      </c>
      <c r="F11" s="139">
        <v>14</v>
      </c>
      <c r="G11" s="139">
        <v>14.8</v>
      </c>
      <c r="H11" s="140">
        <v>13.2</v>
      </c>
    </row>
    <row r="12" spans="1:10" ht="16" thickBot="1">
      <c r="A12" s="589"/>
      <c r="B12" s="590"/>
      <c r="C12" s="138" t="s">
        <v>625</v>
      </c>
      <c r="D12" s="139">
        <v>5.7</v>
      </c>
      <c r="E12" s="139" t="s">
        <v>485</v>
      </c>
      <c r="F12" s="139">
        <v>17.3</v>
      </c>
      <c r="G12" s="139">
        <v>23.3</v>
      </c>
      <c r="H12" s="140">
        <v>16.7</v>
      </c>
    </row>
    <row r="13" spans="1:10" ht="16" thickBot="1">
      <c r="A13" s="591"/>
      <c r="B13" s="592"/>
      <c r="C13" s="141" t="s">
        <v>626</v>
      </c>
      <c r="D13" s="140">
        <v>11.5</v>
      </c>
      <c r="E13" s="140" t="s">
        <v>485</v>
      </c>
      <c r="F13" s="140">
        <v>20.5</v>
      </c>
      <c r="G13" s="140">
        <v>18.600000000000001</v>
      </c>
      <c r="H13" s="140">
        <v>20</v>
      </c>
    </row>
    <row r="14" spans="1:10" ht="16" thickBot="1">
      <c r="A14" s="587" t="s">
        <v>627</v>
      </c>
      <c r="B14" s="588"/>
      <c r="C14" s="138" t="s">
        <v>620</v>
      </c>
      <c r="D14" s="139">
        <v>28</v>
      </c>
      <c r="E14" s="139" t="s">
        <v>485</v>
      </c>
      <c r="F14" s="139">
        <v>38</v>
      </c>
      <c r="G14" s="139">
        <v>15</v>
      </c>
      <c r="H14" s="140">
        <v>37</v>
      </c>
    </row>
    <row r="15" spans="1:10" ht="16" thickBot="1">
      <c r="A15" s="589"/>
      <c r="B15" s="590"/>
      <c r="C15" s="138" t="s">
        <v>621</v>
      </c>
      <c r="D15" s="139">
        <v>14</v>
      </c>
      <c r="E15" s="139" t="s">
        <v>485</v>
      </c>
      <c r="F15" s="139">
        <v>22.5</v>
      </c>
      <c r="G15" s="139">
        <v>8.5</v>
      </c>
      <c r="H15" s="140">
        <v>21.5</v>
      </c>
    </row>
    <row r="16" spans="1:10" ht="16" thickBot="1">
      <c r="A16" s="589"/>
      <c r="B16" s="590"/>
      <c r="C16" s="138" t="s">
        <v>622</v>
      </c>
      <c r="D16" s="139">
        <v>10.7</v>
      </c>
      <c r="E16" s="139" t="s">
        <v>485</v>
      </c>
      <c r="F16" s="139">
        <v>17</v>
      </c>
      <c r="G16" s="139">
        <v>11.3</v>
      </c>
      <c r="H16" s="140">
        <v>16.7</v>
      </c>
    </row>
    <row r="17" spans="1:8" ht="16" thickBot="1">
      <c r="A17" s="589"/>
      <c r="B17" s="590"/>
      <c r="C17" s="138" t="s">
        <v>623</v>
      </c>
      <c r="D17" s="139">
        <v>8.5</v>
      </c>
      <c r="E17" s="139" t="s">
        <v>485</v>
      </c>
      <c r="F17" s="139">
        <v>15</v>
      </c>
      <c r="G17" s="139">
        <v>11.5</v>
      </c>
      <c r="H17" s="140">
        <v>14.5</v>
      </c>
    </row>
    <row r="18" spans="1:8" ht="16" thickBot="1">
      <c r="A18" s="589"/>
      <c r="B18" s="590"/>
      <c r="C18" s="138" t="s">
        <v>624</v>
      </c>
      <c r="D18" s="139">
        <v>6.8</v>
      </c>
      <c r="E18" s="139" t="s">
        <v>485</v>
      </c>
      <c r="F18" s="139">
        <v>18</v>
      </c>
      <c r="G18" s="139">
        <v>11.2</v>
      </c>
      <c r="H18" s="140">
        <v>17.600000000000001</v>
      </c>
    </row>
    <row r="19" spans="1:8" ht="16" thickBot="1">
      <c r="A19" s="589"/>
      <c r="B19" s="590"/>
      <c r="C19" s="138" t="s">
        <v>625</v>
      </c>
      <c r="D19" s="139">
        <v>6.5</v>
      </c>
      <c r="E19" s="139" t="s">
        <v>485</v>
      </c>
      <c r="F19" s="139">
        <v>16.100000000000001</v>
      </c>
      <c r="G19" s="139">
        <v>9.3000000000000007</v>
      </c>
      <c r="H19" s="140">
        <v>15.7</v>
      </c>
    </row>
    <row r="20" spans="1:8" ht="16" thickBot="1">
      <c r="A20" s="591"/>
      <c r="B20" s="592"/>
      <c r="C20" s="141" t="s">
        <v>626</v>
      </c>
      <c r="D20" s="140">
        <v>12.5</v>
      </c>
      <c r="E20" s="140" t="s">
        <v>485</v>
      </c>
      <c r="F20" s="140">
        <v>23.3</v>
      </c>
      <c r="G20" s="140">
        <v>11.3</v>
      </c>
      <c r="H20" s="140">
        <v>22.4</v>
      </c>
    </row>
    <row r="21" spans="1:8" ht="16" thickBot="1">
      <c r="A21" s="587" t="s">
        <v>628</v>
      </c>
      <c r="B21" s="588"/>
      <c r="C21" s="138" t="s">
        <v>620</v>
      </c>
      <c r="D21" s="139">
        <v>22</v>
      </c>
      <c r="E21" s="139">
        <v>45</v>
      </c>
      <c r="F21" s="139">
        <v>37</v>
      </c>
      <c r="G21" s="139">
        <v>21</v>
      </c>
      <c r="H21" s="140">
        <v>35</v>
      </c>
    </row>
    <row r="22" spans="1:8" ht="16" thickBot="1">
      <c r="A22" s="589"/>
      <c r="B22" s="590"/>
      <c r="C22" s="138" t="s">
        <v>621</v>
      </c>
      <c r="D22" s="139">
        <v>15.5</v>
      </c>
      <c r="E22" s="139">
        <v>25</v>
      </c>
      <c r="F22" s="139">
        <v>22.5</v>
      </c>
      <c r="G22" s="139">
        <v>9.5</v>
      </c>
      <c r="H22" s="140">
        <v>21</v>
      </c>
    </row>
    <row r="23" spans="1:8" ht="16" thickBot="1">
      <c r="A23" s="589"/>
      <c r="B23" s="590"/>
      <c r="C23" s="138" t="s">
        <v>622</v>
      </c>
      <c r="D23" s="139">
        <v>11.3</v>
      </c>
      <c r="E23" s="139">
        <v>16.7</v>
      </c>
      <c r="F23" s="139">
        <v>16.3</v>
      </c>
      <c r="G23" s="139">
        <v>18.7</v>
      </c>
      <c r="H23" s="140">
        <v>15</v>
      </c>
    </row>
    <row r="24" spans="1:8" ht="16" thickBot="1">
      <c r="A24" s="589"/>
      <c r="B24" s="590"/>
      <c r="C24" s="138" t="s">
        <v>623</v>
      </c>
      <c r="D24" s="139">
        <v>8.8000000000000007</v>
      </c>
      <c r="E24" s="139">
        <v>13</v>
      </c>
      <c r="F24" s="139">
        <v>13.5</v>
      </c>
      <c r="G24" s="139">
        <v>9.5</v>
      </c>
      <c r="H24" s="140">
        <v>12.3</v>
      </c>
    </row>
    <row r="25" spans="1:8" ht="16" thickBot="1">
      <c r="A25" s="589"/>
      <c r="B25" s="590"/>
      <c r="C25" s="138" t="s">
        <v>624</v>
      </c>
      <c r="D25" s="139">
        <v>8</v>
      </c>
      <c r="E25" s="139">
        <v>10.8</v>
      </c>
      <c r="F25" s="139">
        <v>12.2</v>
      </c>
      <c r="G25" s="139">
        <v>3</v>
      </c>
      <c r="H25" s="140">
        <v>11</v>
      </c>
    </row>
    <row r="26" spans="1:8" ht="16" thickBot="1">
      <c r="A26" s="589"/>
      <c r="B26" s="590"/>
      <c r="C26" s="138" t="s">
        <v>625</v>
      </c>
      <c r="D26" s="139">
        <v>7.2</v>
      </c>
      <c r="E26" s="139">
        <v>8.6999999999999993</v>
      </c>
      <c r="F26" s="139">
        <v>10.7</v>
      </c>
      <c r="G26" s="139">
        <v>5.4</v>
      </c>
      <c r="H26" s="140">
        <v>9.1999999999999993</v>
      </c>
    </row>
    <row r="27" spans="1:8" ht="16" thickBot="1">
      <c r="A27" s="591"/>
      <c r="B27" s="592"/>
      <c r="C27" s="141" t="s">
        <v>626</v>
      </c>
      <c r="D27" s="140">
        <v>11.5</v>
      </c>
      <c r="E27" s="140">
        <v>17.3</v>
      </c>
      <c r="F27" s="140">
        <v>17.7</v>
      </c>
      <c r="G27" s="140">
        <v>11.5</v>
      </c>
      <c r="H27" s="140">
        <v>16</v>
      </c>
    </row>
    <row r="28" spans="1:8" ht="16" thickBot="1">
      <c r="A28" s="587" t="s">
        <v>629</v>
      </c>
      <c r="B28" s="588"/>
      <c r="C28" s="138" t="s">
        <v>620</v>
      </c>
      <c r="D28" s="139">
        <v>24</v>
      </c>
      <c r="E28" s="139">
        <v>38</v>
      </c>
      <c r="F28" s="139">
        <v>46</v>
      </c>
      <c r="G28" s="139">
        <v>25</v>
      </c>
      <c r="H28" s="140">
        <v>35</v>
      </c>
    </row>
    <row r="29" spans="1:8" ht="16" thickBot="1">
      <c r="A29" s="589"/>
      <c r="B29" s="590"/>
      <c r="C29" s="138" t="s">
        <v>621</v>
      </c>
      <c r="D29" s="139">
        <v>15</v>
      </c>
      <c r="E29" s="139">
        <v>19.5</v>
      </c>
      <c r="F29" s="139">
        <v>25.5</v>
      </c>
      <c r="G29" s="139">
        <v>16.5</v>
      </c>
      <c r="H29" s="140">
        <v>19</v>
      </c>
    </row>
    <row r="30" spans="1:8" ht="16" thickBot="1">
      <c r="A30" s="589"/>
      <c r="B30" s="590"/>
      <c r="C30" s="138" t="s">
        <v>622</v>
      </c>
      <c r="D30" s="139">
        <v>11</v>
      </c>
      <c r="E30" s="139">
        <v>13</v>
      </c>
      <c r="F30" s="139">
        <v>18.3</v>
      </c>
      <c r="G30" s="139">
        <v>11.3</v>
      </c>
      <c r="H30" s="140">
        <v>13</v>
      </c>
    </row>
    <row r="31" spans="1:8" ht="16" thickBot="1">
      <c r="A31" s="589"/>
      <c r="B31" s="590"/>
      <c r="C31" s="138" t="s">
        <v>623</v>
      </c>
      <c r="D31" s="139">
        <v>8.8000000000000007</v>
      </c>
      <c r="E31" s="139">
        <v>11</v>
      </c>
      <c r="F31" s="139">
        <v>14.3</v>
      </c>
      <c r="G31" s="139">
        <v>13.8</v>
      </c>
      <c r="H31" s="140">
        <v>10.8</v>
      </c>
    </row>
    <row r="32" spans="1:8" ht="16" thickBot="1">
      <c r="A32" s="589"/>
      <c r="B32" s="590"/>
      <c r="C32" s="138" t="s">
        <v>624</v>
      </c>
      <c r="D32" s="139">
        <v>7.2</v>
      </c>
      <c r="E32" s="139">
        <v>9.1999999999999993</v>
      </c>
      <c r="F32" s="139">
        <v>13.8</v>
      </c>
      <c r="G32" s="139">
        <v>3.6</v>
      </c>
      <c r="H32" s="140">
        <v>11</v>
      </c>
    </row>
    <row r="33" spans="1:8" ht="16" thickBot="1">
      <c r="A33" s="589"/>
      <c r="B33" s="590"/>
      <c r="C33" s="138" t="s">
        <v>625</v>
      </c>
      <c r="D33" s="139">
        <v>6</v>
      </c>
      <c r="E33" s="139">
        <v>7.7</v>
      </c>
      <c r="F33" s="139">
        <v>20.8</v>
      </c>
      <c r="G33" s="139">
        <v>12.1</v>
      </c>
      <c r="H33" s="140">
        <v>14</v>
      </c>
    </row>
    <row r="34" spans="1:8" ht="16" thickBot="1">
      <c r="A34" s="591"/>
      <c r="B34" s="592"/>
      <c r="C34" s="141" t="s">
        <v>626</v>
      </c>
      <c r="D34" s="140">
        <v>11.5</v>
      </c>
      <c r="E34" s="140">
        <v>14.7</v>
      </c>
      <c r="F34" s="140">
        <v>20.5</v>
      </c>
      <c r="G34" s="140">
        <v>16.8</v>
      </c>
      <c r="H34" s="140">
        <v>16</v>
      </c>
    </row>
    <row r="35" spans="1:8" ht="16" thickBot="1">
      <c r="A35" s="587" t="s">
        <v>630</v>
      </c>
      <c r="B35" s="588"/>
      <c r="C35" s="138" t="s">
        <v>620</v>
      </c>
      <c r="D35" s="139">
        <v>19</v>
      </c>
      <c r="E35" s="139">
        <v>45</v>
      </c>
      <c r="F35" s="139">
        <v>33</v>
      </c>
      <c r="G35" s="139">
        <v>46</v>
      </c>
      <c r="H35" s="140">
        <v>34</v>
      </c>
    </row>
    <row r="36" spans="1:8" ht="16" thickBot="1">
      <c r="A36" s="589"/>
      <c r="B36" s="590"/>
      <c r="C36" s="138" t="s">
        <v>621</v>
      </c>
      <c r="D36" s="139">
        <v>11.5</v>
      </c>
      <c r="E36" s="139">
        <v>24.8</v>
      </c>
      <c r="F36" s="139">
        <v>18.5</v>
      </c>
      <c r="G36" s="139">
        <v>23</v>
      </c>
      <c r="H36" s="140">
        <v>19</v>
      </c>
    </row>
    <row r="37" spans="1:8" ht="16" thickBot="1">
      <c r="A37" s="589"/>
      <c r="B37" s="590"/>
      <c r="C37" s="138" t="s">
        <v>622</v>
      </c>
      <c r="D37" s="139">
        <v>11.3</v>
      </c>
      <c r="E37" s="139">
        <v>18.3</v>
      </c>
      <c r="F37" s="139">
        <v>13.3</v>
      </c>
      <c r="G37" s="139">
        <v>18.3</v>
      </c>
      <c r="H37" s="140">
        <v>13.3</v>
      </c>
    </row>
    <row r="38" spans="1:8" ht="16" thickBot="1">
      <c r="A38" s="589"/>
      <c r="B38" s="590"/>
      <c r="C38" s="138" t="s">
        <v>623</v>
      </c>
      <c r="D38" s="139">
        <v>10</v>
      </c>
      <c r="E38" s="139">
        <v>13.8</v>
      </c>
      <c r="F38" s="139">
        <v>11</v>
      </c>
      <c r="G38" s="139">
        <v>11.3</v>
      </c>
      <c r="H38" s="140">
        <v>11</v>
      </c>
    </row>
    <row r="39" spans="1:8" ht="16" thickBot="1">
      <c r="A39" s="589"/>
      <c r="B39" s="590"/>
      <c r="C39" s="138" t="s">
        <v>624</v>
      </c>
      <c r="D39" s="139">
        <v>8</v>
      </c>
      <c r="E39" s="139">
        <v>11</v>
      </c>
      <c r="F39" s="139">
        <v>11.2</v>
      </c>
      <c r="G39" s="139">
        <v>2.4</v>
      </c>
      <c r="H39" s="140">
        <v>11</v>
      </c>
    </row>
    <row r="40" spans="1:8" ht="16" thickBot="1">
      <c r="A40" s="589"/>
      <c r="B40" s="590"/>
      <c r="C40" s="138" t="s">
        <v>625</v>
      </c>
      <c r="D40" s="139">
        <v>7.2</v>
      </c>
      <c r="E40" s="139">
        <v>7.9</v>
      </c>
      <c r="F40" s="139">
        <v>10.199999999999999</v>
      </c>
      <c r="G40" s="139">
        <v>29.8</v>
      </c>
      <c r="H40" s="140">
        <v>9.6999999999999993</v>
      </c>
    </row>
    <row r="41" spans="1:8" ht="16" thickBot="1">
      <c r="A41" s="591"/>
      <c r="B41" s="592"/>
      <c r="C41" s="141" t="s">
        <v>626</v>
      </c>
      <c r="D41" s="140">
        <v>11.3</v>
      </c>
      <c r="E41" s="140">
        <v>18.3</v>
      </c>
      <c r="F41" s="140">
        <v>16</v>
      </c>
      <c r="G41" s="140">
        <v>26</v>
      </c>
      <c r="H41" s="140">
        <v>16</v>
      </c>
    </row>
    <row r="42" spans="1:8" ht="16" thickBot="1">
      <c r="A42" s="587" t="s">
        <v>631</v>
      </c>
      <c r="B42" s="588"/>
      <c r="C42" s="138" t="s">
        <v>620</v>
      </c>
      <c r="D42" s="139">
        <v>18</v>
      </c>
      <c r="E42" s="139">
        <v>40</v>
      </c>
      <c r="F42" s="139">
        <v>30</v>
      </c>
      <c r="G42" s="139">
        <v>10</v>
      </c>
      <c r="H42" s="140">
        <v>23</v>
      </c>
    </row>
    <row r="43" spans="1:8" ht="16" thickBot="1">
      <c r="A43" s="589"/>
      <c r="B43" s="590"/>
      <c r="C43" s="138" t="s">
        <v>621</v>
      </c>
      <c r="D43" s="139">
        <v>13</v>
      </c>
      <c r="E43" s="139">
        <v>20.5</v>
      </c>
      <c r="F43" s="139">
        <v>20.5</v>
      </c>
      <c r="G43" s="139">
        <v>7</v>
      </c>
      <c r="H43" s="140">
        <v>17</v>
      </c>
    </row>
    <row r="44" spans="1:8" ht="16" thickBot="1">
      <c r="A44" s="589"/>
      <c r="B44" s="590"/>
      <c r="C44" s="138" t="s">
        <v>622</v>
      </c>
      <c r="D44" s="139">
        <v>11.3</v>
      </c>
      <c r="E44" s="139">
        <v>13.7</v>
      </c>
      <c r="F44" s="139">
        <v>14</v>
      </c>
      <c r="G44" s="139">
        <v>9.3000000000000007</v>
      </c>
      <c r="H44" s="140">
        <v>11.7</v>
      </c>
    </row>
    <row r="45" spans="1:8" ht="16" thickBot="1">
      <c r="A45" s="589"/>
      <c r="B45" s="590"/>
      <c r="C45" s="138" t="s">
        <v>623</v>
      </c>
      <c r="D45" s="139">
        <v>9.5</v>
      </c>
      <c r="E45" s="139">
        <v>10.8</v>
      </c>
      <c r="F45" s="139">
        <v>12</v>
      </c>
      <c r="G45" s="139">
        <v>4.8</v>
      </c>
      <c r="H45" s="140">
        <v>10.8</v>
      </c>
    </row>
    <row r="46" spans="1:8" ht="16" thickBot="1">
      <c r="A46" s="589"/>
      <c r="B46" s="590"/>
      <c r="C46" s="138" t="s">
        <v>624</v>
      </c>
      <c r="D46" s="139">
        <v>7.8</v>
      </c>
      <c r="E46" s="139">
        <v>9.1999999999999993</v>
      </c>
      <c r="F46" s="139">
        <v>11.4</v>
      </c>
      <c r="G46" s="139">
        <v>3.8</v>
      </c>
      <c r="H46" s="140">
        <v>9.1999999999999993</v>
      </c>
    </row>
    <row r="47" spans="1:8" ht="16" thickBot="1">
      <c r="A47" s="589"/>
      <c r="B47" s="590"/>
      <c r="C47" s="138" t="s">
        <v>625</v>
      </c>
      <c r="D47" s="139">
        <v>7.2</v>
      </c>
      <c r="E47" s="139">
        <v>8.6999999999999993</v>
      </c>
      <c r="F47" s="139">
        <v>9.6999999999999993</v>
      </c>
      <c r="G47" s="139">
        <v>3</v>
      </c>
      <c r="H47" s="140">
        <v>8</v>
      </c>
    </row>
    <row r="48" spans="1:8" ht="16" thickBot="1">
      <c r="A48" s="591"/>
      <c r="B48" s="592"/>
      <c r="C48" s="141" t="s">
        <v>626</v>
      </c>
      <c r="D48" s="140">
        <v>11.5</v>
      </c>
      <c r="E48" s="140">
        <v>16.3</v>
      </c>
      <c r="F48" s="140">
        <v>15.5</v>
      </c>
      <c r="G48" s="140">
        <v>9</v>
      </c>
      <c r="H48" s="140">
        <v>14</v>
      </c>
    </row>
    <row r="49" spans="1:8" ht="16" thickBot="1">
      <c r="A49" s="587" t="s">
        <v>632</v>
      </c>
      <c r="B49" s="588"/>
      <c r="C49" s="138" t="s">
        <v>620</v>
      </c>
      <c r="D49" s="139">
        <v>18</v>
      </c>
      <c r="E49" s="139">
        <v>40</v>
      </c>
      <c r="F49" s="139">
        <v>37</v>
      </c>
      <c r="G49" s="139">
        <v>37</v>
      </c>
      <c r="H49" s="140">
        <v>31</v>
      </c>
    </row>
    <row r="50" spans="1:8" ht="16" thickBot="1">
      <c r="A50" s="589"/>
      <c r="B50" s="590"/>
      <c r="C50" s="138" t="s">
        <v>621</v>
      </c>
      <c r="D50" s="139">
        <v>13</v>
      </c>
      <c r="E50" s="139">
        <v>22.5</v>
      </c>
      <c r="F50" s="139">
        <v>21.5</v>
      </c>
      <c r="G50" s="139">
        <v>14</v>
      </c>
      <c r="H50" s="140">
        <v>17</v>
      </c>
    </row>
    <row r="51" spans="1:8" ht="16" thickBot="1">
      <c r="A51" s="589"/>
      <c r="B51" s="590"/>
      <c r="C51" s="138" t="s">
        <v>622</v>
      </c>
      <c r="D51" s="139">
        <v>10</v>
      </c>
      <c r="E51" s="139">
        <v>17</v>
      </c>
      <c r="F51" s="139">
        <v>15.7</v>
      </c>
      <c r="G51" s="139">
        <v>26.3</v>
      </c>
      <c r="H51" s="140">
        <v>13</v>
      </c>
    </row>
    <row r="52" spans="1:8" ht="16" thickBot="1">
      <c r="A52" s="589"/>
      <c r="B52" s="590"/>
      <c r="C52" s="138" t="s">
        <v>623</v>
      </c>
      <c r="D52" s="139">
        <v>8.5</v>
      </c>
      <c r="E52" s="139">
        <v>13.8</v>
      </c>
      <c r="F52" s="139">
        <v>13.8</v>
      </c>
      <c r="G52" s="139">
        <v>6.3</v>
      </c>
      <c r="H52" s="140">
        <v>12.3</v>
      </c>
    </row>
    <row r="53" spans="1:8" ht="16" thickBot="1">
      <c r="A53" s="589"/>
      <c r="B53" s="590"/>
      <c r="C53" s="138" t="s">
        <v>624</v>
      </c>
      <c r="D53" s="139">
        <v>7.4</v>
      </c>
      <c r="E53" s="139">
        <v>11</v>
      </c>
      <c r="F53" s="139">
        <v>13.2</v>
      </c>
      <c r="G53" s="139">
        <v>11.2</v>
      </c>
      <c r="H53" s="140">
        <v>12</v>
      </c>
    </row>
    <row r="54" spans="1:8" ht="16" thickBot="1">
      <c r="A54" s="589"/>
      <c r="B54" s="590"/>
      <c r="C54" s="138" t="s">
        <v>625</v>
      </c>
      <c r="D54" s="139">
        <v>6.5</v>
      </c>
      <c r="E54" s="139">
        <v>8.1999999999999993</v>
      </c>
      <c r="F54" s="139">
        <v>12.9</v>
      </c>
      <c r="G54" s="139">
        <v>26.7</v>
      </c>
      <c r="H54" s="140">
        <v>11.8</v>
      </c>
    </row>
    <row r="55" spans="1:8" ht="16" thickBot="1">
      <c r="A55" s="591"/>
      <c r="B55" s="592"/>
      <c r="C55" s="141" t="s">
        <v>626</v>
      </c>
      <c r="D55" s="140">
        <v>11</v>
      </c>
      <c r="E55" s="140">
        <v>20</v>
      </c>
      <c r="F55" s="140">
        <v>18</v>
      </c>
      <c r="G55" s="140">
        <v>25</v>
      </c>
      <c r="H55" s="140">
        <v>15.5</v>
      </c>
    </row>
    <row r="56" spans="1:8" ht="16" thickBot="1">
      <c r="A56" s="587" t="s">
        <v>633</v>
      </c>
      <c r="B56" s="588"/>
      <c r="C56" s="138" t="s">
        <v>620</v>
      </c>
      <c r="D56" s="139">
        <v>22</v>
      </c>
      <c r="E56" s="139">
        <v>40</v>
      </c>
      <c r="F56" s="139">
        <v>36</v>
      </c>
      <c r="G56" s="139">
        <v>14</v>
      </c>
      <c r="H56" s="140">
        <v>31</v>
      </c>
    </row>
    <row r="57" spans="1:8" ht="16" thickBot="1">
      <c r="A57" s="589"/>
      <c r="B57" s="590"/>
      <c r="C57" s="138" t="s">
        <v>621</v>
      </c>
      <c r="D57" s="139">
        <v>16.5</v>
      </c>
      <c r="E57" s="139">
        <v>20.5</v>
      </c>
      <c r="F57" s="139">
        <v>19.5</v>
      </c>
      <c r="G57" s="139">
        <v>5.5</v>
      </c>
      <c r="H57" s="140">
        <v>18</v>
      </c>
    </row>
    <row r="58" spans="1:8" ht="16" thickBot="1">
      <c r="A58" s="589"/>
      <c r="B58" s="590"/>
      <c r="C58" s="138" t="s">
        <v>622</v>
      </c>
      <c r="D58" s="139">
        <v>11.3</v>
      </c>
      <c r="E58" s="139">
        <v>13.7</v>
      </c>
      <c r="F58" s="139">
        <v>14</v>
      </c>
      <c r="G58" s="139">
        <v>5</v>
      </c>
      <c r="H58" s="140">
        <v>12.7</v>
      </c>
    </row>
    <row r="59" spans="1:8" ht="16" thickBot="1">
      <c r="A59" s="589"/>
      <c r="B59" s="590"/>
      <c r="C59" s="138" t="s">
        <v>623</v>
      </c>
      <c r="D59" s="139">
        <v>9</v>
      </c>
      <c r="E59" s="139">
        <v>11.3</v>
      </c>
      <c r="F59" s="139">
        <v>11.8</v>
      </c>
      <c r="G59" s="139">
        <v>3</v>
      </c>
      <c r="H59" s="140">
        <v>10.3</v>
      </c>
    </row>
    <row r="60" spans="1:8" ht="16" thickBot="1">
      <c r="A60" s="589"/>
      <c r="B60" s="590"/>
      <c r="C60" s="138" t="s">
        <v>624</v>
      </c>
      <c r="D60" s="139">
        <v>8</v>
      </c>
      <c r="E60" s="139">
        <v>10.4</v>
      </c>
      <c r="F60" s="139">
        <v>11</v>
      </c>
      <c r="G60" s="139">
        <v>17</v>
      </c>
      <c r="H60" s="140">
        <v>8.8000000000000007</v>
      </c>
    </row>
    <row r="61" spans="1:8" ht="16" thickBot="1">
      <c r="A61" s="589"/>
      <c r="B61" s="590"/>
      <c r="C61" s="138" t="s">
        <v>625</v>
      </c>
      <c r="D61" s="139">
        <v>7.2</v>
      </c>
      <c r="E61" s="139">
        <v>7.8</v>
      </c>
      <c r="F61" s="139">
        <v>9.4</v>
      </c>
      <c r="G61" s="139">
        <v>12.1</v>
      </c>
      <c r="H61" s="140">
        <v>7.3</v>
      </c>
    </row>
    <row r="62" spans="1:8" ht="16" thickBot="1">
      <c r="A62" s="591"/>
      <c r="B62" s="592"/>
      <c r="C62" s="141" t="s">
        <v>626</v>
      </c>
      <c r="D62" s="140">
        <v>11.7</v>
      </c>
      <c r="E62" s="140">
        <v>15.7</v>
      </c>
      <c r="F62" s="140">
        <v>15.3</v>
      </c>
      <c r="G62" s="140">
        <v>8</v>
      </c>
      <c r="H62" s="140">
        <v>13.7</v>
      </c>
    </row>
    <row r="63" spans="1:8" ht="16" thickBot="1">
      <c r="A63" s="587" t="s">
        <v>634</v>
      </c>
      <c r="B63" s="588"/>
      <c r="C63" s="138" t="s">
        <v>620</v>
      </c>
      <c r="D63" s="139">
        <v>18</v>
      </c>
      <c r="E63" s="139">
        <v>41</v>
      </c>
      <c r="F63" s="139">
        <v>37</v>
      </c>
      <c r="G63" s="139">
        <v>8</v>
      </c>
      <c r="H63" s="140">
        <v>23</v>
      </c>
    </row>
    <row r="64" spans="1:8" ht="16" thickBot="1">
      <c r="A64" s="589"/>
      <c r="B64" s="590"/>
      <c r="C64" s="138" t="s">
        <v>621</v>
      </c>
      <c r="D64" s="139">
        <v>14</v>
      </c>
      <c r="E64" s="139">
        <v>20.5</v>
      </c>
      <c r="F64" s="139">
        <v>20.5</v>
      </c>
      <c r="G64" s="139">
        <v>4.5</v>
      </c>
      <c r="H64" s="140">
        <v>16.5</v>
      </c>
    </row>
    <row r="65" spans="1:8" ht="16" thickBot="1">
      <c r="A65" s="589"/>
      <c r="B65" s="590"/>
      <c r="C65" s="138" t="s">
        <v>622</v>
      </c>
      <c r="D65" s="139">
        <v>10.7</v>
      </c>
      <c r="E65" s="139">
        <v>14.3</v>
      </c>
      <c r="F65" s="139">
        <v>15</v>
      </c>
      <c r="G65" s="139">
        <v>4.7</v>
      </c>
      <c r="H65" s="140">
        <v>11.7</v>
      </c>
    </row>
    <row r="66" spans="1:8" ht="16" thickBot="1">
      <c r="A66" s="589"/>
      <c r="B66" s="590"/>
      <c r="C66" s="138" t="s">
        <v>623</v>
      </c>
      <c r="D66" s="139">
        <v>9.5</v>
      </c>
      <c r="E66" s="139">
        <v>11.5</v>
      </c>
      <c r="F66" s="139">
        <v>12.3</v>
      </c>
      <c r="G66" s="139">
        <v>3.8</v>
      </c>
      <c r="H66" s="140">
        <v>10</v>
      </c>
    </row>
    <row r="67" spans="1:8" ht="16" thickBot="1">
      <c r="A67" s="589"/>
      <c r="B67" s="590"/>
      <c r="C67" s="138" t="s">
        <v>624</v>
      </c>
      <c r="D67" s="139">
        <v>7.8</v>
      </c>
      <c r="E67" s="139">
        <v>10.199999999999999</v>
      </c>
      <c r="F67" s="139">
        <v>10.199999999999999</v>
      </c>
      <c r="G67" s="139">
        <v>6.8</v>
      </c>
      <c r="H67" s="140">
        <v>8.8000000000000007</v>
      </c>
    </row>
    <row r="68" spans="1:8" ht="16" thickBot="1">
      <c r="A68" s="589"/>
      <c r="B68" s="590"/>
      <c r="C68" s="138" t="s">
        <v>625</v>
      </c>
      <c r="D68" s="139">
        <v>7.3</v>
      </c>
      <c r="E68" s="139">
        <v>8.3000000000000007</v>
      </c>
      <c r="F68" s="139">
        <v>8.1999999999999993</v>
      </c>
      <c r="G68" s="139">
        <v>17</v>
      </c>
      <c r="H68" s="140">
        <v>7.7</v>
      </c>
    </row>
    <row r="69" spans="1:8" ht="16" thickBot="1">
      <c r="A69" s="591"/>
      <c r="B69" s="592"/>
      <c r="C69" s="141" t="s">
        <v>626</v>
      </c>
      <c r="D69" s="140">
        <v>11.3</v>
      </c>
      <c r="E69" s="140">
        <v>16.3</v>
      </c>
      <c r="F69" s="140">
        <v>15.3</v>
      </c>
      <c r="G69" s="140">
        <v>8</v>
      </c>
      <c r="H69" s="140">
        <v>13</v>
      </c>
    </row>
    <row r="70" spans="1:8" ht="16" thickBot="1">
      <c r="A70" s="587" t="s">
        <v>635</v>
      </c>
      <c r="B70" s="588"/>
      <c r="C70" s="138" t="s">
        <v>620</v>
      </c>
      <c r="D70" s="139">
        <v>17</v>
      </c>
      <c r="E70" s="139">
        <v>41</v>
      </c>
      <c r="F70" s="139">
        <v>46</v>
      </c>
      <c r="G70" s="139">
        <v>23</v>
      </c>
      <c r="H70" s="140">
        <v>36</v>
      </c>
    </row>
    <row r="71" spans="1:8" ht="16" thickBot="1">
      <c r="A71" s="589"/>
      <c r="B71" s="590"/>
      <c r="C71" s="138" t="s">
        <v>621</v>
      </c>
      <c r="D71" s="139">
        <v>15</v>
      </c>
      <c r="E71" s="139">
        <v>22.5</v>
      </c>
      <c r="F71" s="139">
        <v>23</v>
      </c>
      <c r="G71" s="139">
        <v>35</v>
      </c>
      <c r="H71" s="140">
        <v>22</v>
      </c>
    </row>
    <row r="72" spans="1:8" ht="16" thickBot="1">
      <c r="A72" s="589"/>
      <c r="B72" s="590"/>
      <c r="C72" s="138" t="s">
        <v>622</v>
      </c>
      <c r="D72" s="139">
        <v>10.7</v>
      </c>
      <c r="E72" s="139">
        <v>15</v>
      </c>
      <c r="F72" s="139">
        <v>16.7</v>
      </c>
      <c r="G72" s="139" t="s">
        <v>485</v>
      </c>
      <c r="H72" s="140">
        <v>14.7</v>
      </c>
    </row>
    <row r="73" spans="1:8" ht="16" thickBot="1">
      <c r="A73" s="589"/>
      <c r="B73" s="590"/>
      <c r="C73" s="138" t="s">
        <v>623</v>
      </c>
      <c r="D73" s="139">
        <v>9.4</v>
      </c>
      <c r="E73" s="139">
        <v>11.8</v>
      </c>
      <c r="F73" s="139">
        <v>14.5</v>
      </c>
      <c r="G73" s="139">
        <v>13.8</v>
      </c>
      <c r="H73" s="140">
        <v>12</v>
      </c>
    </row>
    <row r="74" spans="1:8" ht="16" thickBot="1">
      <c r="A74" s="589"/>
      <c r="B74" s="590"/>
      <c r="C74" s="138" t="s">
        <v>624</v>
      </c>
      <c r="D74" s="139">
        <v>8.6</v>
      </c>
      <c r="E74" s="139">
        <v>10.4</v>
      </c>
      <c r="F74" s="139">
        <v>12</v>
      </c>
      <c r="G74" s="139" t="s">
        <v>485</v>
      </c>
      <c r="H74" s="140">
        <v>10.4</v>
      </c>
    </row>
    <row r="75" spans="1:8" ht="16" thickBot="1">
      <c r="A75" s="589"/>
      <c r="B75" s="590"/>
      <c r="C75" s="138" t="s">
        <v>625</v>
      </c>
      <c r="D75" s="139">
        <v>7</v>
      </c>
      <c r="E75" s="139">
        <v>8.1999999999999993</v>
      </c>
      <c r="F75" s="139">
        <v>10</v>
      </c>
      <c r="G75" s="139" t="s">
        <v>485</v>
      </c>
      <c r="H75" s="140">
        <v>8.1999999999999993</v>
      </c>
    </row>
    <row r="76" spans="1:8" ht="16" thickBot="1">
      <c r="A76" s="591"/>
      <c r="B76" s="592"/>
      <c r="C76" s="141" t="s">
        <v>626</v>
      </c>
      <c r="D76" s="140">
        <v>11</v>
      </c>
      <c r="E76" s="140">
        <v>15</v>
      </c>
      <c r="F76" s="140">
        <v>17.8</v>
      </c>
      <c r="G76" s="140">
        <v>23</v>
      </c>
      <c r="H76" s="140">
        <v>15</v>
      </c>
    </row>
    <row r="77" spans="1:8" ht="16" thickBot="1">
      <c r="A77" s="587" t="s">
        <v>636</v>
      </c>
      <c r="B77" s="588"/>
      <c r="C77" s="138" t="s">
        <v>620</v>
      </c>
      <c r="D77" s="139">
        <v>23</v>
      </c>
      <c r="E77" s="139">
        <v>43</v>
      </c>
      <c r="F77" s="139">
        <v>42</v>
      </c>
      <c r="G77" s="139">
        <v>19</v>
      </c>
      <c r="H77" s="140">
        <v>35</v>
      </c>
    </row>
    <row r="78" spans="1:8" ht="16" thickBot="1">
      <c r="A78" s="589"/>
      <c r="B78" s="590"/>
      <c r="C78" s="138" t="s">
        <v>621</v>
      </c>
      <c r="D78" s="139">
        <v>14.5</v>
      </c>
      <c r="E78" s="139">
        <v>22.5</v>
      </c>
      <c r="F78" s="139">
        <v>22.5</v>
      </c>
      <c r="G78" s="139">
        <v>15.5</v>
      </c>
      <c r="H78" s="140">
        <v>20</v>
      </c>
    </row>
    <row r="79" spans="1:8" ht="16" thickBot="1">
      <c r="A79" s="589"/>
      <c r="B79" s="590"/>
      <c r="C79" s="138" t="s">
        <v>622</v>
      </c>
      <c r="D79" s="139">
        <v>10.7</v>
      </c>
      <c r="E79" s="139">
        <v>15</v>
      </c>
      <c r="F79" s="139">
        <v>16</v>
      </c>
      <c r="G79" s="139">
        <v>4.7</v>
      </c>
      <c r="H79" s="140">
        <v>14.3</v>
      </c>
    </row>
    <row r="80" spans="1:8" ht="16" thickBot="1">
      <c r="A80" s="589"/>
      <c r="B80" s="590"/>
      <c r="C80" s="138" t="s">
        <v>623</v>
      </c>
      <c r="D80" s="139">
        <v>8.8000000000000007</v>
      </c>
      <c r="E80" s="139">
        <v>13.8</v>
      </c>
      <c r="F80" s="139">
        <v>12.8</v>
      </c>
      <c r="G80" s="139">
        <v>5.8</v>
      </c>
      <c r="H80" s="140">
        <v>11.5</v>
      </c>
    </row>
    <row r="81" spans="1:8" ht="16" thickBot="1">
      <c r="A81" s="589"/>
      <c r="B81" s="590"/>
      <c r="C81" s="138" t="s">
        <v>624</v>
      </c>
      <c r="D81" s="139">
        <v>7.6</v>
      </c>
      <c r="E81" s="139">
        <v>9.1999999999999993</v>
      </c>
      <c r="F81" s="139">
        <v>11.4</v>
      </c>
      <c r="G81" s="139">
        <v>7.4</v>
      </c>
      <c r="H81" s="140">
        <v>10.4</v>
      </c>
    </row>
    <row r="82" spans="1:8" ht="16" thickBot="1">
      <c r="A82" s="589"/>
      <c r="B82" s="590"/>
      <c r="C82" s="138" t="s">
        <v>625</v>
      </c>
      <c r="D82" s="139">
        <v>7.1</v>
      </c>
      <c r="E82" s="139">
        <v>8</v>
      </c>
      <c r="F82" s="139">
        <v>9.5</v>
      </c>
      <c r="G82" s="139">
        <v>21.7</v>
      </c>
      <c r="H82" s="140">
        <v>9</v>
      </c>
    </row>
    <row r="83" spans="1:8" ht="16" thickBot="1">
      <c r="A83" s="591"/>
      <c r="B83" s="592"/>
      <c r="C83" s="141" t="s">
        <v>626</v>
      </c>
      <c r="D83" s="140">
        <v>11.7</v>
      </c>
      <c r="E83" s="140">
        <v>15.5</v>
      </c>
      <c r="F83" s="140">
        <v>17</v>
      </c>
      <c r="G83" s="140">
        <v>15</v>
      </c>
      <c r="H83" s="140">
        <v>16</v>
      </c>
    </row>
    <row r="84" spans="1:8" ht="16" thickBot="1">
      <c r="A84" s="587" t="s">
        <v>637</v>
      </c>
      <c r="B84" s="588"/>
      <c r="C84" s="138" t="s">
        <v>620</v>
      </c>
      <c r="D84" s="139">
        <v>23</v>
      </c>
      <c r="E84" s="139">
        <v>41</v>
      </c>
      <c r="F84" s="139">
        <v>42</v>
      </c>
      <c r="G84" s="139">
        <v>37</v>
      </c>
      <c r="H84" s="140">
        <v>31</v>
      </c>
    </row>
    <row r="85" spans="1:8" ht="16" thickBot="1">
      <c r="A85" s="589"/>
      <c r="B85" s="590"/>
      <c r="C85" s="138" t="s">
        <v>621</v>
      </c>
      <c r="D85" s="139">
        <v>12.5</v>
      </c>
      <c r="E85" s="139">
        <v>22</v>
      </c>
      <c r="F85" s="139">
        <v>22.5</v>
      </c>
      <c r="G85" s="139">
        <v>23</v>
      </c>
      <c r="H85" s="140">
        <v>19</v>
      </c>
    </row>
    <row r="86" spans="1:8" ht="16" thickBot="1">
      <c r="A86" s="589"/>
      <c r="B86" s="590"/>
      <c r="C86" s="138" t="s">
        <v>622</v>
      </c>
      <c r="D86" s="139">
        <v>10.3</v>
      </c>
      <c r="E86" s="139">
        <v>15</v>
      </c>
      <c r="F86" s="139">
        <v>15.7</v>
      </c>
      <c r="G86" s="139">
        <v>12.3</v>
      </c>
      <c r="H86" s="140">
        <v>13.3</v>
      </c>
    </row>
    <row r="87" spans="1:8" ht="16" thickBot="1">
      <c r="A87" s="589"/>
      <c r="B87" s="590"/>
      <c r="C87" s="138" t="s">
        <v>623</v>
      </c>
      <c r="D87" s="139">
        <v>8.8000000000000007</v>
      </c>
      <c r="E87" s="139">
        <v>11.3</v>
      </c>
      <c r="F87" s="139">
        <v>12.5</v>
      </c>
      <c r="G87" s="139">
        <v>9.5</v>
      </c>
      <c r="H87" s="140">
        <v>10.8</v>
      </c>
    </row>
    <row r="88" spans="1:8" ht="16" thickBot="1">
      <c r="A88" s="589"/>
      <c r="B88" s="590"/>
      <c r="C88" s="138" t="s">
        <v>624</v>
      </c>
      <c r="D88" s="139">
        <v>7.4</v>
      </c>
      <c r="E88" s="139">
        <v>10.4</v>
      </c>
      <c r="F88" s="139">
        <v>11</v>
      </c>
      <c r="G88" s="139">
        <v>11</v>
      </c>
      <c r="H88" s="140">
        <v>10.4</v>
      </c>
    </row>
    <row r="89" spans="1:8" ht="16" thickBot="1">
      <c r="A89" s="589"/>
      <c r="B89" s="590"/>
      <c r="C89" s="138" t="s">
        <v>625</v>
      </c>
      <c r="D89" s="139">
        <v>6.5</v>
      </c>
      <c r="E89" s="139">
        <v>8.3000000000000007</v>
      </c>
      <c r="F89" s="139">
        <v>10.3</v>
      </c>
      <c r="G89" s="139">
        <v>12.1</v>
      </c>
      <c r="H89" s="140">
        <v>8.6999999999999993</v>
      </c>
    </row>
    <row r="90" spans="1:8" ht="16" thickBot="1">
      <c r="A90" s="591"/>
      <c r="B90" s="592"/>
      <c r="C90" s="141" t="s">
        <v>626</v>
      </c>
      <c r="D90" s="140">
        <v>11.7</v>
      </c>
      <c r="E90" s="140">
        <v>15</v>
      </c>
      <c r="F90" s="140">
        <v>18</v>
      </c>
      <c r="G90" s="140">
        <v>17</v>
      </c>
      <c r="H90" s="140">
        <v>15</v>
      </c>
    </row>
    <row r="91" spans="1:8" ht="16" thickBot="1">
      <c r="A91" s="587" t="s">
        <v>638</v>
      </c>
      <c r="B91" s="588"/>
      <c r="C91" s="138" t="s">
        <v>620</v>
      </c>
      <c r="D91" s="139">
        <v>29</v>
      </c>
      <c r="E91" s="139">
        <v>33</v>
      </c>
      <c r="F91" s="139">
        <v>36</v>
      </c>
      <c r="G91" s="139">
        <v>42</v>
      </c>
      <c r="H91" s="140">
        <v>34</v>
      </c>
    </row>
    <row r="92" spans="1:8" ht="16" thickBot="1">
      <c r="A92" s="589"/>
      <c r="B92" s="590"/>
      <c r="C92" s="138" t="s">
        <v>621</v>
      </c>
      <c r="D92" s="139">
        <v>15</v>
      </c>
      <c r="E92" s="139">
        <v>17.5</v>
      </c>
      <c r="F92" s="139">
        <v>20.5</v>
      </c>
      <c r="G92" s="139">
        <v>18.5</v>
      </c>
      <c r="H92" s="140">
        <v>19.5</v>
      </c>
    </row>
    <row r="93" spans="1:8" ht="16" thickBot="1">
      <c r="A93" s="589"/>
      <c r="B93" s="590"/>
      <c r="C93" s="138" t="s">
        <v>622</v>
      </c>
      <c r="D93" s="139">
        <v>10</v>
      </c>
      <c r="E93" s="139">
        <v>11.7</v>
      </c>
      <c r="F93" s="139">
        <v>14.3</v>
      </c>
      <c r="G93" s="139">
        <v>9.3000000000000007</v>
      </c>
      <c r="H93" s="140">
        <v>13.3</v>
      </c>
    </row>
    <row r="94" spans="1:8" ht="16" thickBot="1">
      <c r="A94" s="589"/>
      <c r="B94" s="590"/>
      <c r="C94" s="138" t="s">
        <v>623</v>
      </c>
      <c r="D94" s="139">
        <v>8.5</v>
      </c>
      <c r="E94" s="139">
        <v>9.8000000000000007</v>
      </c>
      <c r="F94" s="139">
        <v>11.8</v>
      </c>
      <c r="G94" s="139">
        <v>9.5</v>
      </c>
      <c r="H94" s="140">
        <v>10.8</v>
      </c>
    </row>
    <row r="95" spans="1:8" ht="16" thickBot="1">
      <c r="A95" s="589"/>
      <c r="B95" s="590"/>
      <c r="C95" s="138" t="s">
        <v>624</v>
      </c>
      <c r="D95" s="139">
        <v>7</v>
      </c>
      <c r="E95" s="139">
        <v>8.1999999999999993</v>
      </c>
      <c r="F95" s="139">
        <v>11.2</v>
      </c>
      <c r="G95" s="139">
        <v>3.7</v>
      </c>
      <c r="H95" s="140">
        <v>10.6</v>
      </c>
    </row>
    <row r="96" spans="1:8" ht="16" thickBot="1">
      <c r="A96" s="589"/>
      <c r="B96" s="590"/>
      <c r="C96" s="138" t="s">
        <v>625</v>
      </c>
      <c r="D96" s="139">
        <v>5.8</v>
      </c>
      <c r="E96" s="139">
        <v>7.7</v>
      </c>
      <c r="F96" s="139">
        <v>8.5</v>
      </c>
      <c r="G96" s="139">
        <v>10.8</v>
      </c>
      <c r="H96" s="140">
        <v>8</v>
      </c>
    </row>
    <row r="97" spans="1:8" ht="16" thickBot="1">
      <c r="A97" s="591"/>
      <c r="B97" s="592"/>
      <c r="C97" s="141" t="s">
        <v>626</v>
      </c>
      <c r="D97" s="140">
        <v>11.5</v>
      </c>
      <c r="E97" s="140">
        <v>13</v>
      </c>
      <c r="F97" s="140">
        <v>16.5</v>
      </c>
      <c r="G97" s="140">
        <v>14</v>
      </c>
      <c r="H97" s="140">
        <v>15.4</v>
      </c>
    </row>
    <row r="98" spans="1:8" ht="16" thickBot="1">
      <c r="A98" s="587" t="s">
        <v>639</v>
      </c>
      <c r="B98" s="588"/>
      <c r="C98" s="138" t="s">
        <v>620</v>
      </c>
      <c r="D98" s="139">
        <v>17</v>
      </c>
      <c r="E98" s="139">
        <v>49</v>
      </c>
      <c r="F98" s="139">
        <v>51</v>
      </c>
      <c r="G98" s="139">
        <v>38</v>
      </c>
      <c r="H98" s="140">
        <v>22</v>
      </c>
    </row>
    <row r="99" spans="1:8" ht="16" thickBot="1">
      <c r="A99" s="589"/>
      <c r="B99" s="590"/>
      <c r="C99" s="138" t="s">
        <v>621</v>
      </c>
      <c r="D99" s="139">
        <v>17</v>
      </c>
      <c r="E99" s="139">
        <v>28</v>
      </c>
      <c r="F99" s="139">
        <v>25.5</v>
      </c>
      <c r="G99" s="139">
        <v>16</v>
      </c>
      <c r="H99" s="140">
        <v>21</v>
      </c>
    </row>
    <row r="100" spans="1:8" ht="16" thickBot="1">
      <c r="A100" s="589"/>
      <c r="B100" s="590"/>
      <c r="C100" s="138" t="s">
        <v>622</v>
      </c>
      <c r="D100" s="139">
        <v>11.7</v>
      </c>
      <c r="E100" s="139">
        <v>19.7</v>
      </c>
      <c r="F100" s="139">
        <v>17</v>
      </c>
      <c r="G100" s="139" t="s">
        <v>485</v>
      </c>
      <c r="H100" s="140">
        <v>14.3</v>
      </c>
    </row>
    <row r="101" spans="1:8" ht="16" thickBot="1">
      <c r="A101" s="589"/>
      <c r="B101" s="590"/>
      <c r="C101" s="138" t="s">
        <v>623</v>
      </c>
      <c r="D101" s="139">
        <v>10.8</v>
      </c>
      <c r="E101" s="139">
        <v>14.8</v>
      </c>
      <c r="F101" s="139">
        <v>12.8</v>
      </c>
      <c r="G101" s="139" t="s">
        <v>485</v>
      </c>
      <c r="H101" s="140">
        <v>11</v>
      </c>
    </row>
    <row r="102" spans="1:8" ht="16" thickBot="1">
      <c r="A102" s="589"/>
      <c r="B102" s="590"/>
      <c r="C102" s="138" t="s">
        <v>624</v>
      </c>
      <c r="D102" s="139">
        <v>8.8000000000000007</v>
      </c>
      <c r="E102" s="139">
        <v>11.8</v>
      </c>
      <c r="F102" s="139">
        <v>10.199999999999999</v>
      </c>
      <c r="G102" s="139" t="s">
        <v>485</v>
      </c>
      <c r="H102" s="140">
        <v>9.8000000000000007</v>
      </c>
    </row>
    <row r="103" spans="1:8" ht="16" thickBot="1">
      <c r="A103" s="589"/>
      <c r="B103" s="590"/>
      <c r="C103" s="138" t="s">
        <v>625</v>
      </c>
      <c r="D103" s="139">
        <v>7.5</v>
      </c>
      <c r="E103" s="139">
        <v>9.8000000000000007</v>
      </c>
      <c r="F103" s="139">
        <v>8.5</v>
      </c>
      <c r="G103" s="139" t="s">
        <v>485</v>
      </c>
      <c r="H103" s="140">
        <v>8.4</v>
      </c>
    </row>
    <row r="104" spans="1:8" ht="16" thickBot="1">
      <c r="A104" s="591"/>
      <c r="B104" s="592"/>
      <c r="C104" s="141" t="s">
        <v>626</v>
      </c>
      <c r="D104" s="140">
        <v>11.3</v>
      </c>
      <c r="E104" s="140">
        <v>18.3</v>
      </c>
      <c r="F104" s="140">
        <v>19.7</v>
      </c>
      <c r="G104" s="140">
        <v>16</v>
      </c>
      <c r="H104" s="140">
        <v>14</v>
      </c>
    </row>
    <row r="105" spans="1:8" ht="16" thickBot="1">
      <c r="A105" s="587" t="s">
        <v>640</v>
      </c>
      <c r="B105" s="588"/>
      <c r="C105" s="138" t="s">
        <v>620</v>
      </c>
      <c r="D105" s="139">
        <v>18</v>
      </c>
      <c r="E105" s="139">
        <v>40</v>
      </c>
      <c r="F105" s="139">
        <v>37</v>
      </c>
      <c r="G105" s="139">
        <v>28</v>
      </c>
      <c r="H105" s="140">
        <v>34</v>
      </c>
    </row>
    <row r="106" spans="1:8" ht="16" thickBot="1">
      <c r="A106" s="589"/>
      <c r="B106" s="590"/>
      <c r="C106" s="138" t="s">
        <v>621</v>
      </c>
      <c r="D106" s="139">
        <v>11.5</v>
      </c>
      <c r="E106" s="139">
        <v>20.5</v>
      </c>
      <c r="F106" s="139">
        <v>19.5</v>
      </c>
      <c r="G106" s="139">
        <v>16.5</v>
      </c>
      <c r="H106" s="140">
        <v>18.5</v>
      </c>
    </row>
    <row r="107" spans="1:8" ht="16" thickBot="1">
      <c r="A107" s="589"/>
      <c r="B107" s="590"/>
      <c r="C107" s="138" t="s">
        <v>622</v>
      </c>
      <c r="D107" s="139">
        <v>10</v>
      </c>
      <c r="E107" s="139">
        <v>13.7</v>
      </c>
      <c r="F107" s="139">
        <v>13.7</v>
      </c>
      <c r="G107" s="139">
        <v>11.3</v>
      </c>
      <c r="H107" s="140">
        <v>13</v>
      </c>
    </row>
    <row r="108" spans="1:8" ht="16" thickBot="1">
      <c r="A108" s="589"/>
      <c r="B108" s="590"/>
      <c r="C108" s="138" t="s">
        <v>623</v>
      </c>
      <c r="D108" s="139">
        <v>9.3000000000000007</v>
      </c>
      <c r="E108" s="139">
        <v>11.3</v>
      </c>
      <c r="F108" s="139">
        <v>11.8</v>
      </c>
      <c r="G108" s="139">
        <v>8.5</v>
      </c>
      <c r="H108" s="140">
        <v>10.3</v>
      </c>
    </row>
    <row r="109" spans="1:8" ht="16" thickBot="1">
      <c r="A109" s="589"/>
      <c r="B109" s="590"/>
      <c r="C109" s="138" t="s">
        <v>624</v>
      </c>
      <c r="D109" s="139">
        <v>8</v>
      </c>
      <c r="E109" s="139">
        <v>9.1999999999999993</v>
      </c>
      <c r="F109" s="139">
        <v>10</v>
      </c>
      <c r="G109" s="139">
        <v>7.6</v>
      </c>
      <c r="H109" s="140">
        <v>9</v>
      </c>
    </row>
    <row r="110" spans="1:8" ht="16" thickBot="1">
      <c r="A110" s="589"/>
      <c r="B110" s="590"/>
      <c r="C110" s="138" t="s">
        <v>625</v>
      </c>
      <c r="D110" s="139">
        <v>7.2</v>
      </c>
      <c r="E110" s="139">
        <v>7.7</v>
      </c>
      <c r="F110" s="139">
        <v>9.4</v>
      </c>
      <c r="G110" s="139">
        <v>3.2</v>
      </c>
      <c r="H110" s="140">
        <v>7.5</v>
      </c>
    </row>
    <row r="111" spans="1:8" ht="16" thickBot="1">
      <c r="A111" s="591"/>
      <c r="B111" s="592"/>
      <c r="C111" s="141" t="s">
        <v>626</v>
      </c>
      <c r="D111" s="140">
        <v>11</v>
      </c>
      <c r="E111" s="140">
        <v>15</v>
      </c>
      <c r="F111" s="140">
        <v>16.3</v>
      </c>
      <c r="G111" s="140">
        <v>12</v>
      </c>
      <c r="H111" s="140">
        <v>13.8</v>
      </c>
    </row>
    <row r="112" spans="1:8" ht="16" thickBot="1">
      <c r="A112" s="587" t="s">
        <v>641</v>
      </c>
      <c r="B112" s="588"/>
      <c r="C112" s="138" t="s">
        <v>620</v>
      </c>
      <c r="D112" s="139">
        <v>24</v>
      </c>
      <c r="E112" s="139">
        <v>40</v>
      </c>
      <c r="F112" s="139">
        <v>38</v>
      </c>
      <c r="G112" s="139">
        <v>33</v>
      </c>
      <c r="H112" s="140">
        <v>35</v>
      </c>
    </row>
    <row r="113" spans="1:8" ht="16" thickBot="1">
      <c r="A113" s="589"/>
      <c r="B113" s="590"/>
      <c r="C113" s="138" t="s">
        <v>621</v>
      </c>
      <c r="D113" s="139">
        <v>15</v>
      </c>
      <c r="E113" s="139">
        <v>20.5</v>
      </c>
      <c r="F113" s="139">
        <v>21</v>
      </c>
      <c r="G113" s="139">
        <v>18.5</v>
      </c>
      <c r="H113" s="140">
        <v>18.5</v>
      </c>
    </row>
    <row r="114" spans="1:8" ht="16" thickBot="1">
      <c r="A114" s="589"/>
      <c r="B114" s="590"/>
      <c r="C114" s="138" t="s">
        <v>622</v>
      </c>
      <c r="D114" s="139">
        <v>10.7</v>
      </c>
      <c r="E114" s="139">
        <v>13.7</v>
      </c>
      <c r="F114" s="139">
        <v>14.7</v>
      </c>
      <c r="G114" s="139">
        <v>12.3</v>
      </c>
      <c r="H114" s="140">
        <v>13.7</v>
      </c>
    </row>
    <row r="115" spans="1:8" ht="16" thickBot="1">
      <c r="A115" s="589"/>
      <c r="B115" s="590"/>
      <c r="C115" s="138" t="s">
        <v>623</v>
      </c>
      <c r="D115" s="139">
        <v>8.8000000000000007</v>
      </c>
      <c r="E115" s="139">
        <v>10.3</v>
      </c>
      <c r="F115" s="139">
        <v>13.8</v>
      </c>
      <c r="G115" s="139">
        <v>9.3000000000000007</v>
      </c>
      <c r="H115" s="140">
        <v>10.3</v>
      </c>
    </row>
    <row r="116" spans="1:8" ht="16" thickBot="1">
      <c r="A116" s="589"/>
      <c r="B116" s="590"/>
      <c r="C116" s="138" t="s">
        <v>624</v>
      </c>
      <c r="D116" s="139">
        <v>7.4</v>
      </c>
      <c r="E116" s="139">
        <v>8.1999999999999993</v>
      </c>
      <c r="F116" s="139">
        <v>13.4</v>
      </c>
      <c r="G116" s="139">
        <v>6.6</v>
      </c>
      <c r="H116" s="140">
        <v>10.4</v>
      </c>
    </row>
    <row r="117" spans="1:8" ht="16" thickBot="1">
      <c r="A117" s="589"/>
      <c r="B117" s="590"/>
      <c r="C117" s="138" t="s">
        <v>625</v>
      </c>
      <c r="D117" s="139">
        <v>5.8</v>
      </c>
      <c r="E117" s="139">
        <v>6.8</v>
      </c>
      <c r="F117" s="139">
        <v>13.5</v>
      </c>
      <c r="G117" s="139">
        <v>9.3000000000000007</v>
      </c>
      <c r="H117" s="140">
        <v>9</v>
      </c>
    </row>
    <row r="118" spans="1:8" ht="16" thickBot="1">
      <c r="A118" s="591"/>
      <c r="B118" s="592"/>
      <c r="C118" s="141" t="s">
        <v>626</v>
      </c>
      <c r="D118" s="140">
        <v>11.5</v>
      </c>
      <c r="E118" s="140">
        <v>13.7</v>
      </c>
      <c r="F118" s="140">
        <v>17.5</v>
      </c>
      <c r="G118" s="140">
        <v>12.3</v>
      </c>
      <c r="H118" s="140">
        <v>15</v>
      </c>
    </row>
    <row r="119" spans="1:8" ht="16" thickBot="1">
      <c r="A119" s="587" t="s">
        <v>642</v>
      </c>
      <c r="B119" s="588"/>
      <c r="C119" s="138" t="s">
        <v>620</v>
      </c>
      <c r="D119" s="139">
        <v>23</v>
      </c>
      <c r="E119" s="139">
        <v>38</v>
      </c>
      <c r="F119" s="139">
        <v>33</v>
      </c>
      <c r="G119" s="139">
        <v>19</v>
      </c>
      <c r="H119" s="140">
        <v>28</v>
      </c>
    </row>
    <row r="120" spans="1:8" ht="16" thickBot="1">
      <c r="A120" s="589"/>
      <c r="B120" s="590"/>
      <c r="C120" s="138" t="s">
        <v>621</v>
      </c>
      <c r="D120" s="139">
        <v>12</v>
      </c>
      <c r="E120" s="139">
        <v>20</v>
      </c>
      <c r="F120" s="139">
        <v>21</v>
      </c>
      <c r="G120" s="139">
        <v>9.5</v>
      </c>
      <c r="H120" s="140">
        <v>17.5</v>
      </c>
    </row>
    <row r="121" spans="1:8" ht="16" thickBot="1">
      <c r="A121" s="589"/>
      <c r="B121" s="590"/>
      <c r="C121" s="138" t="s">
        <v>622</v>
      </c>
      <c r="D121" s="139">
        <v>10.3</v>
      </c>
      <c r="E121" s="139">
        <v>13.7</v>
      </c>
      <c r="F121" s="139">
        <v>15.7</v>
      </c>
      <c r="G121" s="139">
        <v>15.3</v>
      </c>
      <c r="H121" s="140">
        <v>12.3</v>
      </c>
    </row>
    <row r="122" spans="1:8" ht="16" thickBot="1">
      <c r="A122" s="589"/>
      <c r="B122" s="590"/>
      <c r="C122" s="138" t="s">
        <v>623</v>
      </c>
      <c r="D122" s="139">
        <v>8.8000000000000007</v>
      </c>
      <c r="E122" s="139">
        <v>10.5</v>
      </c>
      <c r="F122" s="139">
        <v>14.5</v>
      </c>
      <c r="G122" s="139">
        <v>9.5</v>
      </c>
      <c r="H122" s="140">
        <v>10.3</v>
      </c>
    </row>
    <row r="123" spans="1:8" ht="16" thickBot="1">
      <c r="A123" s="589"/>
      <c r="B123" s="590"/>
      <c r="C123" s="138" t="s">
        <v>624</v>
      </c>
      <c r="D123" s="139">
        <v>7.4</v>
      </c>
      <c r="E123" s="139">
        <v>9.6</v>
      </c>
      <c r="F123" s="139">
        <v>13.6</v>
      </c>
      <c r="G123" s="139">
        <v>13</v>
      </c>
      <c r="H123" s="140">
        <v>10.4</v>
      </c>
    </row>
    <row r="124" spans="1:8" ht="16" thickBot="1">
      <c r="A124" s="589"/>
      <c r="B124" s="590"/>
      <c r="C124" s="138" t="s">
        <v>625</v>
      </c>
      <c r="D124" s="139">
        <v>6</v>
      </c>
      <c r="E124" s="139">
        <v>7.6</v>
      </c>
      <c r="F124" s="139">
        <v>12.8</v>
      </c>
      <c r="G124" s="139">
        <v>6.3</v>
      </c>
      <c r="H124" s="140">
        <v>9.3000000000000007</v>
      </c>
    </row>
    <row r="125" spans="1:8" ht="16" thickBot="1">
      <c r="A125" s="591"/>
      <c r="B125" s="592"/>
      <c r="C125" s="141" t="s">
        <v>626</v>
      </c>
      <c r="D125" s="140">
        <v>11.5</v>
      </c>
      <c r="E125" s="140">
        <v>15</v>
      </c>
      <c r="F125" s="140">
        <v>17.8</v>
      </c>
      <c r="G125" s="140">
        <v>13</v>
      </c>
      <c r="H125" s="140">
        <v>14.5</v>
      </c>
    </row>
    <row r="126" spans="1:8" ht="16" thickBot="1">
      <c r="A126" s="587" t="s">
        <v>643</v>
      </c>
      <c r="B126" s="588"/>
      <c r="C126" s="138" t="s">
        <v>620</v>
      </c>
      <c r="D126" s="139">
        <v>16</v>
      </c>
      <c r="E126" s="139">
        <v>45</v>
      </c>
      <c r="F126" s="139">
        <v>46</v>
      </c>
      <c r="G126" s="139">
        <v>32</v>
      </c>
      <c r="H126" s="140">
        <v>41</v>
      </c>
    </row>
    <row r="127" spans="1:8" ht="16" thickBot="1">
      <c r="A127" s="589"/>
      <c r="B127" s="590"/>
      <c r="C127" s="138" t="s">
        <v>621</v>
      </c>
      <c r="D127" s="139">
        <v>16</v>
      </c>
      <c r="E127" s="139">
        <v>22.5</v>
      </c>
      <c r="F127" s="139">
        <v>24.5</v>
      </c>
      <c r="G127" s="139">
        <v>14</v>
      </c>
      <c r="H127" s="140">
        <v>22.5</v>
      </c>
    </row>
    <row r="128" spans="1:8" ht="16" thickBot="1">
      <c r="A128" s="589"/>
      <c r="B128" s="590"/>
      <c r="C128" s="138" t="s">
        <v>622</v>
      </c>
      <c r="D128" s="139">
        <v>11.7</v>
      </c>
      <c r="E128" s="139">
        <v>15</v>
      </c>
      <c r="F128" s="139">
        <v>17.3</v>
      </c>
      <c r="G128" s="139">
        <v>37</v>
      </c>
      <c r="H128" s="140">
        <v>15</v>
      </c>
    </row>
    <row r="129" spans="1:8" ht="16" thickBot="1">
      <c r="A129" s="589"/>
      <c r="B129" s="590"/>
      <c r="C129" s="138" t="s">
        <v>623</v>
      </c>
      <c r="D129" s="139">
        <v>8.8000000000000007</v>
      </c>
      <c r="E129" s="139">
        <v>12.3</v>
      </c>
      <c r="F129" s="139">
        <v>15</v>
      </c>
      <c r="G129" s="139" t="s">
        <v>485</v>
      </c>
      <c r="H129" s="140">
        <v>12.5</v>
      </c>
    </row>
    <row r="130" spans="1:8" ht="16" thickBot="1">
      <c r="A130" s="589"/>
      <c r="B130" s="590"/>
      <c r="C130" s="138" t="s">
        <v>624</v>
      </c>
      <c r="D130" s="139">
        <v>8</v>
      </c>
      <c r="E130" s="139">
        <v>10.8</v>
      </c>
      <c r="F130" s="139">
        <v>13</v>
      </c>
      <c r="G130" s="139" t="s">
        <v>485</v>
      </c>
      <c r="H130" s="140">
        <v>11</v>
      </c>
    </row>
    <row r="131" spans="1:8" ht="16" thickBot="1">
      <c r="A131" s="589"/>
      <c r="B131" s="590"/>
      <c r="C131" s="138" t="s">
        <v>625</v>
      </c>
      <c r="D131" s="139">
        <v>7.2</v>
      </c>
      <c r="E131" s="139">
        <v>8.1999999999999993</v>
      </c>
      <c r="F131" s="139">
        <v>11.7</v>
      </c>
      <c r="G131" s="139" t="s">
        <v>485</v>
      </c>
      <c r="H131" s="140">
        <v>9.1999999999999993</v>
      </c>
    </row>
    <row r="132" spans="1:8" ht="16" thickBot="1">
      <c r="A132" s="591"/>
      <c r="B132" s="592"/>
      <c r="C132" s="141" t="s">
        <v>626</v>
      </c>
      <c r="D132" s="140">
        <v>11</v>
      </c>
      <c r="E132" s="140">
        <v>16</v>
      </c>
      <c r="F132" s="140">
        <v>18.3</v>
      </c>
      <c r="G132" s="140">
        <v>28</v>
      </c>
      <c r="H132" s="140">
        <v>16</v>
      </c>
    </row>
    <row r="133" spans="1:8" ht="16" thickBot="1">
      <c r="A133" s="587" t="s">
        <v>644</v>
      </c>
      <c r="B133" s="588"/>
      <c r="C133" s="138" t="s">
        <v>620</v>
      </c>
      <c r="D133" s="139">
        <v>18</v>
      </c>
      <c r="E133" s="139">
        <v>44</v>
      </c>
      <c r="F133" s="139">
        <v>35</v>
      </c>
      <c r="G133" s="139">
        <v>12</v>
      </c>
      <c r="H133" s="140">
        <v>23</v>
      </c>
    </row>
    <row r="134" spans="1:8" ht="16" thickBot="1">
      <c r="A134" s="589"/>
      <c r="B134" s="590"/>
      <c r="C134" s="138" t="s">
        <v>621</v>
      </c>
      <c r="D134" s="139">
        <v>16.5</v>
      </c>
      <c r="E134" s="139">
        <v>23.5</v>
      </c>
      <c r="F134" s="139">
        <v>19</v>
      </c>
      <c r="G134" s="139">
        <v>15.5</v>
      </c>
      <c r="H134" s="140">
        <v>17</v>
      </c>
    </row>
    <row r="135" spans="1:8" ht="16" thickBot="1">
      <c r="A135" s="589"/>
      <c r="B135" s="590"/>
      <c r="C135" s="138" t="s">
        <v>622</v>
      </c>
      <c r="D135" s="139">
        <v>11.3</v>
      </c>
      <c r="E135" s="139">
        <v>16.3</v>
      </c>
      <c r="F135" s="139">
        <v>13</v>
      </c>
      <c r="G135" s="139">
        <v>10.3</v>
      </c>
      <c r="H135" s="140">
        <v>11.7</v>
      </c>
    </row>
    <row r="136" spans="1:8" ht="16" thickBot="1">
      <c r="A136" s="589"/>
      <c r="B136" s="590"/>
      <c r="C136" s="138" t="s">
        <v>623</v>
      </c>
      <c r="D136" s="139">
        <v>9.3000000000000007</v>
      </c>
      <c r="E136" s="139">
        <v>13</v>
      </c>
      <c r="F136" s="139">
        <v>10.5</v>
      </c>
      <c r="G136" s="139">
        <v>8.5</v>
      </c>
      <c r="H136" s="140">
        <v>9.8000000000000007</v>
      </c>
    </row>
    <row r="137" spans="1:8" ht="16" thickBot="1">
      <c r="A137" s="589"/>
      <c r="B137" s="590"/>
      <c r="C137" s="138" t="s">
        <v>624</v>
      </c>
      <c r="D137" s="139">
        <v>8.4</v>
      </c>
      <c r="E137" s="139">
        <v>10.6</v>
      </c>
      <c r="F137" s="139">
        <v>9.6</v>
      </c>
      <c r="G137" s="139">
        <v>6.2</v>
      </c>
      <c r="H137" s="140">
        <v>8.6</v>
      </c>
    </row>
    <row r="138" spans="1:8" ht="16" thickBot="1">
      <c r="A138" s="589"/>
      <c r="B138" s="590"/>
      <c r="C138" s="138" t="s">
        <v>625</v>
      </c>
      <c r="D138" s="139">
        <v>7.2</v>
      </c>
      <c r="E138" s="139">
        <v>9.1999999999999993</v>
      </c>
      <c r="F138" s="139">
        <v>7.5</v>
      </c>
      <c r="G138" s="139">
        <v>5.7</v>
      </c>
      <c r="H138" s="140">
        <v>7.2</v>
      </c>
    </row>
    <row r="139" spans="1:8" ht="16" thickBot="1">
      <c r="A139" s="591"/>
      <c r="B139" s="592"/>
      <c r="C139" s="141" t="s">
        <v>626</v>
      </c>
      <c r="D139" s="140">
        <v>11.3</v>
      </c>
      <c r="E139" s="140">
        <v>17.3</v>
      </c>
      <c r="F139" s="140">
        <v>13.8</v>
      </c>
      <c r="G139" s="140">
        <v>10.5</v>
      </c>
      <c r="H139" s="140">
        <v>11.7</v>
      </c>
    </row>
    <row r="140" spans="1:8" ht="16" thickBot="1">
      <c r="A140" s="587" t="s">
        <v>645</v>
      </c>
      <c r="B140" s="588"/>
      <c r="C140" s="138" t="s">
        <v>620</v>
      </c>
      <c r="D140" s="139">
        <v>22</v>
      </c>
      <c r="E140" s="139">
        <v>39</v>
      </c>
      <c r="F140" s="139">
        <v>37</v>
      </c>
      <c r="G140" s="139">
        <v>23</v>
      </c>
      <c r="H140" s="140">
        <v>33</v>
      </c>
    </row>
    <row r="141" spans="1:8" ht="16" thickBot="1">
      <c r="A141" s="589"/>
      <c r="B141" s="590"/>
      <c r="C141" s="138" t="s">
        <v>621</v>
      </c>
      <c r="D141" s="139">
        <v>15</v>
      </c>
      <c r="E141" s="139">
        <v>20.5</v>
      </c>
      <c r="F141" s="139">
        <v>22.5</v>
      </c>
      <c r="G141" s="139">
        <v>6</v>
      </c>
      <c r="H141" s="140">
        <v>17.5</v>
      </c>
    </row>
    <row r="142" spans="1:8" ht="16" thickBot="1">
      <c r="A142" s="589"/>
      <c r="B142" s="590"/>
      <c r="C142" s="138" t="s">
        <v>622</v>
      </c>
      <c r="D142" s="139">
        <v>11</v>
      </c>
      <c r="E142" s="139">
        <v>13.7</v>
      </c>
      <c r="F142" s="139">
        <v>15.7</v>
      </c>
      <c r="G142" s="139">
        <v>43.3</v>
      </c>
      <c r="H142" s="140">
        <v>12.3</v>
      </c>
    </row>
    <row r="143" spans="1:8" ht="16" thickBot="1">
      <c r="A143" s="589"/>
      <c r="B143" s="590"/>
      <c r="C143" s="138" t="s">
        <v>623</v>
      </c>
      <c r="D143" s="139">
        <v>8.5</v>
      </c>
      <c r="E143" s="139">
        <v>10.3</v>
      </c>
      <c r="F143" s="139">
        <v>12.8</v>
      </c>
      <c r="G143" s="139">
        <v>3.8</v>
      </c>
      <c r="H143" s="140">
        <v>10.3</v>
      </c>
    </row>
    <row r="144" spans="1:8" ht="16" thickBot="1">
      <c r="A144" s="589"/>
      <c r="B144" s="590"/>
      <c r="C144" s="138" t="s">
        <v>624</v>
      </c>
      <c r="D144" s="139">
        <v>7.4</v>
      </c>
      <c r="E144" s="139">
        <v>9</v>
      </c>
      <c r="F144" s="139">
        <v>12.4</v>
      </c>
      <c r="G144" s="139" t="s">
        <v>485</v>
      </c>
      <c r="H144" s="140">
        <v>9</v>
      </c>
    </row>
    <row r="145" spans="1:8" ht="16" thickBot="1">
      <c r="A145" s="589"/>
      <c r="B145" s="590"/>
      <c r="C145" s="138" t="s">
        <v>625</v>
      </c>
      <c r="D145" s="139">
        <v>6.2</v>
      </c>
      <c r="E145" s="139">
        <v>7.5</v>
      </c>
      <c r="F145" s="139">
        <v>10.3</v>
      </c>
      <c r="G145" s="139" t="s">
        <v>485</v>
      </c>
      <c r="H145" s="140">
        <v>7.5</v>
      </c>
    </row>
    <row r="146" spans="1:8" ht="16" thickBot="1">
      <c r="A146" s="591"/>
      <c r="B146" s="592"/>
      <c r="C146" s="141" t="s">
        <v>626</v>
      </c>
      <c r="D146" s="140">
        <v>11.5</v>
      </c>
      <c r="E146" s="140">
        <v>15</v>
      </c>
      <c r="F146" s="140">
        <v>17</v>
      </c>
      <c r="G146" s="140">
        <v>15</v>
      </c>
      <c r="H146" s="140">
        <v>14</v>
      </c>
    </row>
    <row r="147" spans="1:8" ht="16" thickBot="1">
      <c r="A147" s="587" t="s">
        <v>646</v>
      </c>
      <c r="B147" s="588"/>
      <c r="C147" s="138" t="s">
        <v>620</v>
      </c>
      <c r="D147" s="139">
        <v>16</v>
      </c>
      <c r="E147" s="139">
        <v>49</v>
      </c>
      <c r="F147" s="139">
        <v>52</v>
      </c>
      <c r="G147" s="139" t="s">
        <v>485</v>
      </c>
      <c r="H147" s="140">
        <v>45</v>
      </c>
    </row>
    <row r="148" spans="1:8" ht="16" thickBot="1">
      <c r="A148" s="589"/>
      <c r="B148" s="590"/>
      <c r="C148" s="138" t="s">
        <v>621</v>
      </c>
      <c r="D148" s="139">
        <v>11</v>
      </c>
      <c r="E148" s="139">
        <v>24.5</v>
      </c>
      <c r="F148" s="139">
        <v>28</v>
      </c>
      <c r="G148" s="139">
        <v>32.5</v>
      </c>
      <c r="H148" s="140">
        <v>25.5</v>
      </c>
    </row>
    <row r="149" spans="1:8" ht="16" thickBot="1">
      <c r="A149" s="589"/>
      <c r="B149" s="590"/>
      <c r="C149" s="138" t="s">
        <v>622</v>
      </c>
      <c r="D149" s="139">
        <v>13</v>
      </c>
      <c r="E149" s="139">
        <v>18.3</v>
      </c>
      <c r="F149" s="139">
        <v>21.7</v>
      </c>
      <c r="G149" s="139" t="s">
        <v>485</v>
      </c>
      <c r="H149" s="140">
        <v>16</v>
      </c>
    </row>
    <row r="150" spans="1:8" ht="16" thickBot="1">
      <c r="A150" s="589"/>
      <c r="B150" s="590"/>
      <c r="C150" s="138" t="s">
        <v>623</v>
      </c>
      <c r="D150" s="139">
        <v>11.5</v>
      </c>
      <c r="E150" s="139">
        <v>13.8</v>
      </c>
      <c r="F150" s="139">
        <v>17.5</v>
      </c>
      <c r="G150" s="139">
        <v>40</v>
      </c>
      <c r="H150" s="140">
        <v>11.5</v>
      </c>
    </row>
    <row r="151" spans="1:8" ht="16" thickBot="1">
      <c r="A151" s="589"/>
      <c r="B151" s="590"/>
      <c r="C151" s="138" t="s">
        <v>624</v>
      </c>
      <c r="D151" s="139">
        <v>9.1999999999999993</v>
      </c>
      <c r="E151" s="139">
        <v>11</v>
      </c>
      <c r="F151" s="139">
        <v>14.6</v>
      </c>
      <c r="G151" s="139" t="s">
        <v>485</v>
      </c>
      <c r="H151" s="140">
        <v>10.4</v>
      </c>
    </row>
    <row r="152" spans="1:8" ht="16" thickBot="1">
      <c r="A152" s="589"/>
      <c r="B152" s="590"/>
      <c r="C152" s="138" t="s">
        <v>625</v>
      </c>
      <c r="D152" s="139">
        <v>8.6999999999999993</v>
      </c>
      <c r="E152" s="139">
        <v>6.7</v>
      </c>
      <c r="F152" s="139">
        <v>12</v>
      </c>
      <c r="G152" s="139" t="s">
        <v>485</v>
      </c>
      <c r="H152" s="140">
        <v>8.6999999999999993</v>
      </c>
    </row>
    <row r="153" spans="1:8" ht="16" thickBot="1">
      <c r="A153" s="591"/>
      <c r="B153" s="592"/>
      <c r="C153" s="141" t="s">
        <v>626</v>
      </c>
      <c r="D153" s="140">
        <v>11.5</v>
      </c>
      <c r="E153" s="140">
        <v>19.7</v>
      </c>
      <c r="F153" s="140">
        <v>25.5</v>
      </c>
      <c r="G153" s="140">
        <v>32.5</v>
      </c>
      <c r="H153" s="140">
        <v>16</v>
      </c>
    </row>
    <row r="154" spans="1:8" ht="16" thickBot="1">
      <c r="A154" s="587" t="s">
        <v>647</v>
      </c>
      <c r="B154" s="588"/>
      <c r="C154" s="138" t="s">
        <v>620</v>
      </c>
      <c r="D154" s="139">
        <v>14</v>
      </c>
      <c r="E154" s="139">
        <v>41</v>
      </c>
      <c r="F154" s="139">
        <v>55</v>
      </c>
      <c r="G154" s="139">
        <v>37</v>
      </c>
      <c r="H154" s="140">
        <v>49</v>
      </c>
    </row>
    <row r="155" spans="1:8" ht="16" thickBot="1">
      <c r="A155" s="589"/>
      <c r="B155" s="590"/>
      <c r="C155" s="138" t="s">
        <v>621</v>
      </c>
      <c r="D155" s="139">
        <v>11</v>
      </c>
      <c r="E155" s="139">
        <v>21</v>
      </c>
      <c r="F155" s="139">
        <v>30</v>
      </c>
      <c r="G155" s="139">
        <v>19</v>
      </c>
      <c r="H155" s="140">
        <v>28</v>
      </c>
    </row>
    <row r="156" spans="1:8" ht="16" thickBot="1">
      <c r="A156" s="589"/>
      <c r="B156" s="590"/>
      <c r="C156" s="138" t="s">
        <v>622</v>
      </c>
      <c r="D156" s="139">
        <v>10</v>
      </c>
      <c r="E156" s="139">
        <v>13.7</v>
      </c>
      <c r="F156" s="139">
        <v>21.7</v>
      </c>
      <c r="G156" s="139">
        <v>12.7</v>
      </c>
      <c r="H156" s="140">
        <v>21</v>
      </c>
    </row>
    <row r="157" spans="1:8" ht="16" thickBot="1">
      <c r="A157" s="589"/>
      <c r="B157" s="590"/>
      <c r="C157" s="138" t="s">
        <v>623</v>
      </c>
      <c r="D157" s="139">
        <v>8.5</v>
      </c>
      <c r="E157" s="139">
        <v>10.3</v>
      </c>
      <c r="F157" s="139">
        <v>16.3</v>
      </c>
      <c r="G157" s="139">
        <v>11.5</v>
      </c>
      <c r="H157" s="140">
        <v>16.3</v>
      </c>
    </row>
    <row r="158" spans="1:8" ht="16" thickBot="1">
      <c r="A158" s="589"/>
      <c r="B158" s="590"/>
      <c r="C158" s="138" t="s">
        <v>624</v>
      </c>
      <c r="D158" s="139">
        <v>7.4</v>
      </c>
      <c r="E158" s="139">
        <v>8.4</v>
      </c>
      <c r="F158" s="139">
        <v>13</v>
      </c>
      <c r="G158" s="139">
        <v>7.6</v>
      </c>
      <c r="H158" s="140">
        <v>13</v>
      </c>
    </row>
    <row r="159" spans="1:8" ht="16" thickBot="1">
      <c r="A159" s="589"/>
      <c r="B159" s="590"/>
      <c r="C159" s="138" t="s">
        <v>625</v>
      </c>
      <c r="D159" s="139">
        <v>7.2</v>
      </c>
      <c r="E159" s="139">
        <v>8.3000000000000007</v>
      </c>
      <c r="F159" s="139">
        <v>12</v>
      </c>
      <c r="G159" s="139">
        <v>9.1999999999999993</v>
      </c>
      <c r="H159" s="140">
        <v>10.8</v>
      </c>
    </row>
    <row r="160" spans="1:8" ht="16" thickBot="1">
      <c r="A160" s="591"/>
      <c r="B160" s="592"/>
      <c r="C160" s="141" t="s">
        <v>626</v>
      </c>
      <c r="D160" s="140">
        <v>11</v>
      </c>
      <c r="E160" s="140">
        <v>20</v>
      </c>
      <c r="F160" s="140">
        <v>23</v>
      </c>
      <c r="G160" s="140">
        <v>18.5</v>
      </c>
      <c r="H160" s="140">
        <v>21.7</v>
      </c>
    </row>
    <row r="161" spans="1:8" ht="16" thickBot="1">
      <c r="A161" s="593" t="s">
        <v>648</v>
      </c>
      <c r="B161" s="594"/>
      <c r="C161" s="141" t="s">
        <v>620</v>
      </c>
      <c r="D161" s="140">
        <v>19</v>
      </c>
      <c r="E161" s="140">
        <v>41</v>
      </c>
      <c r="F161" s="140">
        <v>39</v>
      </c>
      <c r="G161" s="140">
        <v>28</v>
      </c>
      <c r="H161" s="140">
        <v>32</v>
      </c>
    </row>
    <row r="162" spans="1:8" ht="16" thickBot="1">
      <c r="A162" s="595"/>
      <c r="B162" s="596"/>
      <c r="C162" s="141" t="s">
        <v>621</v>
      </c>
      <c r="D162" s="140">
        <v>15</v>
      </c>
      <c r="E162" s="140">
        <v>21</v>
      </c>
      <c r="F162" s="140">
        <v>22</v>
      </c>
      <c r="G162" s="140">
        <v>18.5</v>
      </c>
      <c r="H162" s="140">
        <v>18.5</v>
      </c>
    </row>
    <row r="163" spans="1:8" ht="16" thickBot="1">
      <c r="A163" s="595"/>
      <c r="B163" s="596"/>
      <c r="C163" s="141" t="s">
        <v>622</v>
      </c>
      <c r="D163" s="140">
        <v>11</v>
      </c>
      <c r="E163" s="140">
        <v>15</v>
      </c>
      <c r="F163" s="140">
        <v>16</v>
      </c>
      <c r="G163" s="140">
        <v>12.7</v>
      </c>
      <c r="H163" s="140">
        <v>13.3</v>
      </c>
    </row>
    <row r="164" spans="1:8" ht="16" thickBot="1">
      <c r="A164" s="595"/>
      <c r="B164" s="596"/>
      <c r="C164" s="141" t="s">
        <v>623</v>
      </c>
      <c r="D164" s="140">
        <v>9</v>
      </c>
      <c r="E164" s="140">
        <v>11.3</v>
      </c>
      <c r="F164" s="140">
        <v>13.3</v>
      </c>
      <c r="G164" s="140">
        <v>9.5</v>
      </c>
      <c r="H164" s="140">
        <v>11</v>
      </c>
    </row>
    <row r="165" spans="1:8" ht="16" thickBot="1">
      <c r="A165" s="595"/>
      <c r="B165" s="596"/>
      <c r="C165" s="141" t="s">
        <v>624</v>
      </c>
      <c r="D165" s="140">
        <v>7.8</v>
      </c>
      <c r="E165" s="140">
        <v>10</v>
      </c>
      <c r="F165" s="140">
        <v>12.4</v>
      </c>
      <c r="G165" s="140">
        <v>7.6</v>
      </c>
      <c r="H165" s="140">
        <v>10.4</v>
      </c>
    </row>
    <row r="166" spans="1:8" ht="16" thickBot="1">
      <c r="A166" s="595"/>
      <c r="B166" s="596"/>
      <c r="C166" s="141" t="s">
        <v>625</v>
      </c>
      <c r="D166" s="140">
        <v>7.2</v>
      </c>
      <c r="E166" s="140">
        <v>8</v>
      </c>
      <c r="F166" s="140">
        <v>11.2</v>
      </c>
      <c r="G166" s="140">
        <v>9.1999999999999993</v>
      </c>
      <c r="H166" s="140">
        <v>9</v>
      </c>
    </row>
    <row r="167" spans="1:8" ht="16" thickBot="1">
      <c r="A167" s="597"/>
      <c r="B167" s="598"/>
      <c r="C167" s="141" t="s">
        <v>616</v>
      </c>
      <c r="D167" s="140">
        <v>11.5</v>
      </c>
      <c r="E167" s="140">
        <v>15.3</v>
      </c>
      <c r="F167" s="140">
        <v>18</v>
      </c>
      <c r="G167" s="140">
        <v>18</v>
      </c>
      <c r="H167" s="140">
        <v>15</v>
      </c>
    </row>
    <row r="168" spans="1:8" ht="15.5">
      <c r="A168" s="142"/>
    </row>
    <row r="169" spans="1:8" ht="15.75" customHeight="1">
      <c r="A169" s="586" t="s">
        <v>649</v>
      </c>
      <c r="B169" s="586"/>
      <c r="C169" s="586"/>
      <c r="D169" s="586"/>
    </row>
    <row r="170" spans="1:8" ht="31.5" customHeight="1">
      <c r="A170" s="143" t="s">
        <v>650</v>
      </c>
      <c r="B170" s="599" t="s">
        <v>651</v>
      </c>
      <c r="C170" s="599"/>
      <c r="D170" s="599"/>
      <c r="E170" s="599"/>
      <c r="F170" s="599"/>
      <c r="G170" s="599"/>
    </row>
    <row r="171" spans="1:8" ht="15.5">
      <c r="A171" s="143"/>
    </row>
    <row r="172" spans="1:8" ht="15.75" customHeight="1">
      <c r="A172" s="586" t="s">
        <v>652</v>
      </c>
      <c r="B172" s="586"/>
      <c r="C172" s="586"/>
      <c r="D172" s="586"/>
    </row>
    <row r="173" spans="1:8" ht="15.5">
      <c r="A173" s="143"/>
      <c r="B173" s="143"/>
      <c r="C173" s="143"/>
      <c r="D173" s="143"/>
    </row>
    <row r="174" spans="1:8" ht="15.5">
      <c r="A174" s="586"/>
      <c r="B174" s="586"/>
      <c r="C174" s="586"/>
      <c r="D174" s="586"/>
    </row>
    <row r="175" spans="1:8" ht="15.5">
      <c r="A175" s="143"/>
      <c r="B175" s="143"/>
      <c r="C175" s="143"/>
      <c r="D175" s="143"/>
    </row>
    <row r="176" spans="1:8" ht="15.75" customHeight="1">
      <c r="A176" s="586" t="s">
        <v>470</v>
      </c>
      <c r="B176" s="586"/>
      <c r="C176" s="586"/>
      <c r="D176" s="586"/>
    </row>
    <row r="177" spans="1:4" ht="15.75" customHeight="1">
      <c r="A177" s="586" t="s">
        <v>653</v>
      </c>
      <c r="B177" s="586"/>
      <c r="C177" s="586"/>
      <c r="D177" s="586"/>
    </row>
    <row r="178" spans="1:4" ht="15.75" customHeight="1">
      <c r="A178" s="586" t="s">
        <v>654</v>
      </c>
      <c r="B178" s="586"/>
      <c r="C178" s="586"/>
      <c r="D178" s="586"/>
    </row>
    <row r="179" spans="1:4" ht="15.75" customHeight="1">
      <c r="A179" s="586" t="s">
        <v>655</v>
      </c>
      <c r="B179" s="586"/>
      <c r="C179" s="586"/>
      <c r="D179" s="586"/>
    </row>
    <row r="180" spans="1:4" ht="15.75" customHeight="1">
      <c r="A180" s="586" t="s">
        <v>656</v>
      </c>
      <c r="B180" s="586"/>
      <c r="C180" s="586"/>
      <c r="D180" s="586"/>
    </row>
    <row r="181" spans="1:4" ht="15.75" customHeight="1">
      <c r="A181" s="586" t="s">
        <v>657</v>
      </c>
      <c r="B181" s="586"/>
      <c r="C181" s="586"/>
      <c r="D181" s="586"/>
    </row>
    <row r="182" spans="1:4" ht="15.5">
      <c r="A182" s="143"/>
    </row>
    <row r="183" spans="1:4" ht="15.75" customHeight="1">
      <c r="A183" s="586" t="s">
        <v>658</v>
      </c>
      <c r="B183" s="586"/>
      <c r="C183" s="586"/>
      <c r="D183" s="586"/>
    </row>
    <row r="184" spans="1:4" ht="15.75" customHeight="1">
      <c r="A184" s="586" t="s">
        <v>659</v>
      </c>
      <c r="B184" s="586"/>
      <c r="C184" s="586"/>
      <c r="D184" s="586"/>
    </row>
  </sheetData>
  <mergeCells count="44">
    <mergeCell ref="A21:B27"/>
    <mergeCell ref="A1:F1"/>
    <mergeCell ref="A2:C3"/>
    <mergeCell ref="D2:H2"/>
    <mergeCell ref="D3:H3"/>
    <mergeCell ref="A4:C4"/>
    <mergeCell ref="D4:H4"/>
    <mergeCell ref="A5:C5"/>
    <mergeCell ref="A6:B6"/>
    <mergeCell ref="D6:H6"/>
    <mergeCell ref="A7:B13"/>
    <mergeCell ref="A14:B20"/>
    <mergeCell ref="A105:B111"/>
    <mergeCell ref="A28:B34"/>
    <mergeCell ref="A35:B41"/>
    <mergeCell ref="A42:B48"/>
    <mergeCell ref="A49:B55"/>
    <mergeCell ref="A56:B62"/>
    <mergeCell ref="A63:B69"/>
    <mergeCell ref="A70:B76"/>
    <mergeCell ref="A77:B83"/>
    <mergeCell ref="A84:B90"/>
    <mergeCell ref="A91:B97"/>
    <mergeCell ref="A98:B104"/>
    <mergeCell ref="A174:D174"/>
    <mergeCell ref="A112:B118"/>
    <mergeCell ref="A119:B125"/>
    <mergeCell ref="A126:B132"/>
    <mergeCell ref="A133:B139"/>
    <mergeCell ref="A140:B146"/>
    <mergeCell ref="A147:B153"/>
    <mergeCell ref="A154:B160"/>
    <mergeCell ref="A161:B167"/>
    <mergeCell ref="A169:D169"/>
    <mergeCell ref="B170:G170"/>
    <mergeCell ref="A172:D172"/>
    <mergeCell ref="A183:D183"/>
    <mergeCell ref="A184:D184"/>
    <mergeCell ref="A176:D176"/>
    <mergeCell ref="A177:D177"/>
    <mergeCell ref="A178:D178"/>
    <mergeCell ref="A179:D179"/>
    <mergeCell ref="A180:D180"/>
    <mergeCell ref="A181:D181"/>
  </mergeCells>
  <phoneticPr fontId="3" type="noConversion"/>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107"/>
  <sheetViews>
    <sheetView zoomScale="85" workbookViewId="0">
      <selection activeCell="E22" sqref="E22:E23"/>
    </sheetView>
  </sheetViews>
  <sheetFormatPr defaultColWidth="8.81640625" defaultRowHeight="14.5"/>
  <cols>
    <col min="1" max="1" width="42.453125" customWidth="1"/>
    <col min="2" max="2" width="12.26953125" customWidth="1"/>
    <col min="3" max="3" width="9.453125" customWidth="1"/>
    <col min="4" max="4" width="10" customWidth="1"/>
  </cols>
  <sheetData>
    <row r="1" spans="1:49" ht="30" customHeight="1">
      <c r="A1" s="618" t="s">
        <v>660</v>
      </c>
      <c r="B1" s="618"/>
      <c r="C1" s="618"/>
      <c r="D1" s="618"/>
      <c r="E1" s="618"/>
      <c r="F1" s="618"/>
      <c r="G1" s="618"/>
      <c r="H1" s="618"/>
      <c r="I1" s="618"/>
      <c r="J1" s="618"/>
      <c r="K1" s="618"/>
      <c r="L1" s="618"/>
      <c r="M1" s="618"/>
      <c r="N1" s="618"/>
      <c r="O1" s="618"/>
      <c r="P1" s="618"/>
      <c r="Q1" s="618"/>
      <c r="R1" s="618"/>
    </row>
    <row r="2" spans="1:49">
      <c r="A2" s="54" t="s">
        <v>661</v>
      </c>
      <c r="B2" s="62" t="s">
        <v>662</v>
      </c>
      <c r="C2" s="63" t="s">
        <v>663</v>
      </c>
      <c r="D2" s="63"/>
    </row>
    <row r="3" spans="1:49">
      <c r="A3" s="54" t="s">
        <v>664</v>
      </c>
      <c r="B3" t="s">
        <v>665</v>
      </c>
    </row>
    <row r="4" spans="1:49">
      <c r="B4" t="s">
        <v>666</v>
      </c>
    </row>
    <row r="5" spans="1:49">
      <c r="B5" t="s">
        <v>667</v>
      </c>
    </row>
    <row r="7" spans="1:49" s="164" customFormat="1">
      <c r="A7" s="164" t="s">
        <v>668</v>
      </c>
      <c r="B7" s="164" t="s">
        <v>669</v>
      </c>
      <c r="C7" s="164">
        <v>2005</v>
      </c>
      <c r="D7" s="164">
        <v>2006</v>
      </c>
      <c r="E7" s="164">
        <v>2007</v>
      </c>
      <c r="F7" s="164">
        <v>2008</v>
      </c>
      <c r="G7" s="164">
        <v>2009</v>
      </c>
      <c r="H7" s="164">
        <v>2010</v>
      </c>
      <c r="I7" s="164">
        <v>2011</v>
      </c>
      <c r="J7" s="164">
        <v>2012</v>
      </c>
      <c r="K7" s="164">
        <v>2013</v>
      </c>
      <c r="L7" s="164">
        <v>2014</v>
      </c>
      <c r="M7" s="164">
        <v>2015</v>
      </c>
      <c r="N7" s="164">
        <v>2016</v>
      </c>
      <c r="O7" s="164">
        <v>2017</v>
      </c>
      <c r="P7" s="164">
        <v>2018</v>
      </c>
      <c r="Q7" s="164">
        <v>2019</v>
      </c>
      <c r="R7" s="164">
        <v>2020</v>
      </c>
      <c r="S7" s="164">
        <v>2021</v>
      </c>
      <c r="T7" s="164">
        <v>2022</v>
      </c>
      <c r="U7" s="164">
        <v>2023</v>
      </c>
      <c r="V7" s="164">
        <v>2024</v>
      </c>
      <c r="W7" s="164">
        <v>2025</v>
      </c>
      <c r="X7" s="164">
        <v>2026</v>
      </c>
      <c r="Y7" s="164">
        <v>2027</v>
      </c>
      <c r="Z7" s="164">
        <v>2028</v>
      </c>
      <c r="AA7" s="164">
        <v>2029</v>
      </c>
      <c r="AB7" s="164">
        <v>2030</v>
      </c>
      <c r="AC7" s="164">
        <v>2031</v>
      </c>
      <c r="AD7" s="164">
        <v>2032</v>
      </c>
      <c r="AE7" s="164">
        <v>2033</v>
      </c>
      <c r="AF7" s="164">
        <v>2034</v>
      </c>
      <c r="AG7" s="164">
        <v>2035</v>
      </c>
      <c r="AH7" s="164">
        <v>2036</v>
      </c>
      <c r="AI7" s="164">
        <v>2037</v>
      </c>
      <c r="AJ7" s="164">
        <v>2038</v>
      </c>
      <c r="AK7" s="164">
        <v>2039</v>
      </c>
      <c r="AL7" s="164">
        <v>2040</v>
      </c>
      <c r="AM7" s="164">
        <v>2041</v>
      </c>
      <c r="AN7" s="164">
        <v>2042</v>
      </c>
      <c r="AO7" s="164">
        <v>2043</v>
      </c>
      <c r="AP7" s="164">
        <v>2044</v>
      </c>
      <c r="AQ7" s="164">
        <v>2045</v>
      </c>
      <c r="AR7" s="164">
        <v>2046</v>
      </c>
      <c r="AS7" s="164">
        <v>2047</v>
      </c>
      <c r="AT7" s="164">
        <v>2048</v>
      </c>
      <c r="AU7" s="164">
        <v>2049</v>
      </c>
      <c r="AV7" s="164">
        <v>2050</v>
      </c>
      <c r="AW7" s="164">
        <v>2051</v>
      </c>
    </row>
    <row r="8" spans="1:49">
      <c r="A8" s="53" t="s">
        <v>670</v>
      </c>
      <c r="B8" t="s">
        <v>671</v>
      </c>
      <c r="C8" s="64">
        <v>6813.2</v>
      </c>
      <c r="D8" s="64">
        <v>6857.1</v>
      </c>
      <c r="E8" s="64">
        <v>6916.3</v>
      </c>
      <c r="F8" s="64">
        <v>6957.8</v>
      </c>
      <c r="G8" s="64">
        <v>6972.8</v>
      </c>
      <c r="H8" s="64">
        <v>7024.2</v>
      </c>
      <c r="I8" s="64">
        <v>7071.6</v>
      </c>
      <c r="J8" s="64">
        <v>7150.1</v>
      </c>
      <c r="K8" s="64">
        <v>7178.9</v>
      </c>
      <c r="L8" s="64">
        <v>7229.5</v>
      </c>
      <c r="M8" s="64">
        <v>7291.3</v>
      </c>
      <c r="N8" s="64">
        <v>7336.6</v>
      </c>
      <c r="O8" s="64">
        <v>7391.7</v>
      </c>
      <c r="P8" s="64">
        <v>7451</v>
      </c>
      <c r="Q8" s="65">
        <v>7502.6</v>
      </c>
      <c r="R8" s="65">
        <v>7558.1</v>
      </c>
      <c r="S8" s="65">
        <v>7608.4</v>
      </c>
      <c r="T8" s="65">
        <v>7657.7</v>
      </c>
      <c r="U8" s="65">
        <v>7705.4</v>
      </c>
      <c r="V8" s="65">
        <v>7748.4</v>
      </c>
      <c r="W8" s="65">
        <v>7788.7</v>
      </c>
      <c r="X8" s="65">
        <v>7825.2</v>
      </c>
      <c r="Y8" s="65">
        <v>7859.6</v>
      </c>
      <c r="Z8" s="65">
        <v>7895.2</v>
      </c>
      <c r="AA8" s="65">
        <v>7930.5</v>
      </c>
      <c r="AB8" s="65">
        <v>7963.8</v>
      </c>
      <c r="AC8" s="65">
        <v>7996.2</v>
      </c>
      <c r="AD8" s="65">
        <v>8028</v>
      </c>
      <c r="AE8" s="65">
        <v>8060</v>
      </c>
      <c r="AF8" s="65">
        <v>8090.2</v>
      </c>
      <c r="AG8" s="65">
        <v>8117.2</v>
      </c>
      <c r="AH8" s="65">
        <v>8141.7</v>
      </c>
      <c r="AI8" s="65">
        <v>8163.5</v>
      </c>
      <c r="AJ8" s="65">
        <v>8182</v>
      </c>
      <c r="AK8" s="65">
        <v>8196.2000000000007</v>
      </c>
      <c r="AL8" s="65">
        <v>8207</v>
      </c>
      <c r="AM8" s="65">
        <v>8213.7999999999993</v>
      </c>
      <c r="AN8" s="65">
        <v>8217.1</v>
      </c>
      <c r="AO8" s="65">
        <v>8218.5</v>
      </c>
      <c r="AP8" s="65">
        <v>8217.6</v>
      </c>
      <c r="AQ8" s="65">
        <v>8213.7000000000007</v>
      </c>
      <c r="AR8" s="65">
        <v>8207.2000000000007</v>
      </c>
      <c r="AS8" s="65">
        <v>8197.1</v>
      </c>
      <c r="AT8" s="65">
        <v>8185</v>
      </c>
      <c r="AU8" s="65">
        <v>8170</v>
      </c>
      <c r="AV8" s="65">
        <v>8152.3</v>
      </c>
    </row>
    <row r="9" spans="1:49">
      <c r="A9" s="53" t="s">
        <v>672</v>
      </c>
      <c r="B9" t="s">
        <v>673</v>
      </c>
      <c r="C9" s="64">
        <v>196.28290661555027</v>
      </c>
      <c r="D9" s="64">
        <v>210.08695475935278</v>
      </c>
      <c r="E9" s="64">
        <v>223.66872639495065</v>
      </c>
      <c r="F9" s="64">
        <v>228.42826443840249</v>
      </c>
      <c r="G9" s="64">
        <v>222.81110013156828</v>
      </c>
      <c r="H9" s="64">
        <v>237.89024818360531</v>
      </c>
      <c r="I9" s="64">
        <v>249.34391970689373</v>
      </c>
      <c r="J9" s="64">
        <v>253.58353381643323</v>
      </c>
      <c r="K9" s="64">
        <v>261.4483987932918</v>
      </c>
      <c r="L9" s="64">
        <v>268.67069284922229</v>
      </c>
      <c r="M9" s="64">
        <v>275.08613446344197</v>
      </c>
      <c r="N9" s="64">
        <v>281.03603654829504</v>
      </c>
      <c r="O9" s="64">
        <v>291.69109227205433</v>
      </c>
      <c r="P9" s="64">
        <v>301.90028050157622</v>
      </c>
      <c r="Q9" s="55">
        <v>310.65538863612193</v>
      </c>
      <c r="R9" s="65">
        <v>319.97505029520562</v>
      </c>
      <c r="S9" s="55">
        <v>329.89427685435697</v>
      </c>
      <c r="T9" s="55">
        <v>340.120999436842</v>
      </c>
      <c r="U9" s="55">
        <v>350.66475041938406</v>
      </c>
      <c r="V9" s="55">
        <v>359.7489652122822</v>
      </c>
      <c r="W9" s="65">
        <v>369.9529423926142</v>
      </c>
      <c r="X9" s="55">
        <v>380.0592250894515</v>
      </c>
      <c r="Y9" s="55">
        <v>390.01400505105994</v>
      </c>
      <c r="Z9" s="55">
        <v>399.87872419310224</v>
      </c>
      <c r="AA9" s="55">
        <v>409.75022916782473</v>
      </c>
      <c r="AB9" s="65">
        <v>419.87452636513262</v>
      </c>
      <c r="AC9" s="55">
        <v>429.77617383383767</v>
      </c>
      <c r="AD9" s="55">
        <v>439.69592854728762</v>
      </c>
      <c r="AE9" s="55">
        <v>449.65422421977564</v>
      </c>
      <c r="AF9" s="55">
        <v>459.63325896187598</v>
      </c>
      <c r="AG9" s="65">
        <v>469.59812324072118</v>
      </c>
      <c r="AH9" s="55">
        <v>479.52012607155848</v>
      </c>
      <c r="AI9" s="55">
        <v>489.48684381360727</v>
      </c>
      <c r="AJ9" s="55">
        <v>499.44979875905119</v>
      </c>
      <c r="AK9" s="55">
        <v>509.40312551934039</v>
      </c>
      <c r="AL9" s="65">
        <v>519.35232043612632</v>
      </c>
      <c r="AM9" s="55">
        <v>529.30668356665046</v>
      </c>
      <c r="AN9" s="55">
        <v>539.26807077138801</v>
      </c>
      <c r="AO9" s="55">
        <v>549.22040555720741</v>
      </c>
      <c r="AP9" s="55">
        <v>559.17362405603853</v>
      </c>
      <c r="AQ9" s="65">
        <v>569.12918517627259</v>
      </c>
      <c r="AR9" s="55">
        <v>579.08546292275059</v>
      </c>
      <c r="AS9" s="55">
        <v>589.04028452444982</v>
      </c>
      <c r="AT9" s="55">
        <v>598.99401903290345</v>
      </c>
      <c r="AU9" s="55">
        <v>608.94959619795554</v>
      </c>
      <c r="AV9" s="65">
        <v>618.90494703984587</v>
      </c>
    </row>
    <row r="10" spans="1:49">
      <c r="A10" s="53" t="s">
        <v>674</v>
      </c>
      <c r="B10" t="s">
        <v>675</v>
      </c>
      <c r="C10" s="55">
        <f>C9/C8*1000</f>
        <v>28.809209566070319</v>
      </c>
      <c r="D10" s="55">
        <f>D9/D8*1000</f>
        <v>30.637872389108043</v>
      </c>
      <c r="E10" s="55">
        <f t="shared" ref="E10:W10" si="0">E9/E8*1000</f>
        <v>32.339361565425243</v>
      </c>
      <c r="F10" s="55">
        <f t="shared" si="0"/>
        <v>32.830530403058795</v>
      </c>
      <c r="G10" s="55">
        <f t="shared" si="0"/>
        <v>31.954322529194627</v>
      </c>
      <c r="H10" s="55">
        <f t="shared" si="0"/>
        <v>33.86723729159268</v>
      </c>
      <c r="I10" s="55">
        <f t="shared" si="0"/>
        <v>35.259901536695189</v>
      </c>
      <c r="J10" s="55">
        <f t="shared" si="0"/>
        <v>35.465732481564345</v>
      </c>
      <c r="K10" s="55">
        <f t="shared" si="0"/>
        <v>36.419005529160707</v>
      </c>
      <c r="L10" s="55">
        <f t="shared" si="0"/>
        <v>37.163108492872574</v>
      </c>
      <c r="M10" s="55">
        <f t="shared" si="0"/>
        <v>37.727995619908931</v>
      </c>
      <c r="N10" s="55">
        <f t="shared" si="0"/>
        <v>38.306032296744412</v>
      </c>
      <c r="O10" s="55">
        <f t="shared" si="0"/>
        <v>39.461976578061119</v>
      </c>
      <c r="P10" s="55">
        <f t="shared" si="0"/>
        <v>40.518088914451248</v>
      </c>
      <c r="Q10" s="55">
        <f t="shared" si="0"/>
        <v>41.406364278533033</v>
      </c>
      <c r="R10" s="55">
        <f t="shared" si="0"/>
        <v>42.335381947209697</v>
      </c>
      <c r="S10" s="55">
        <f t="shared" si="0"/>
        <v>43.359218344771172</v>
      </c>
      <c r="T10" s="55">
        <f t="shared" si="0"/>
        <v>44.415555511033602</v>
      </c>
      <c r="U10" s="55">
        <f t="shared" si="0"/>
        <v>45.50896130238327</v>
      </c>
      <c r="V10" s="55">
        <f t="shared" si="0"/>
        <v>46.428806619725648</v>
      </c>
      <c r="W10" s="55">
        <f t="shared" si="0"/>
        <v>47.498676594632506</v>
      </c>
      <c r="X10" s="55">
        <f t="shared" ref="X10:AV10" si="1">X9/X8*1000</f>
        <v>48.568627650341398</v>
      </c>
      <c r="Y10" s="55">
        <f t="shared" si="1"/>
        <v>49.622627748366313</v>
      </c>
      <c r="Z10" s="55">
        <f t="shared" si="1"/>
        <v>50.648333695549482</v>
      </c>
      <c r="AA10" s="55">
        <f t="shared" si="1"/>
        <v>51.667641279594569</v>
      </c>
      <c r="AB10" s="55">
        <f t="shared" si="1"/>
        <v>52.722886858677093</v>
      </c>
      <c r="AC10" s="55">
        <f t="shared" si="1"/>
        <v>53.747551816342472</v>
      </c>
      <c r="AD10" s="55">
        <f t="shared" si="1"/>
        <v>54.770295035785708</v>
      </c>
      <c r="AE10" s="55">
        <f t="shared" si="1"/>
        <v>55.788365287813356</v>
      </c>
      <c r="AF10" s="55">
        <f t="shared" si="1"/>
        <v>56.813584208286073</v>
      </c>
      <c r="AG10" s="55">
        <f t="shared" si="1"/>
        <v>57.852230232188589</v>
      </c>
      <c r="AH10" s="55">
        <f t="shared" si="1"/>
        <v>58.896806081231006</v>
      </c>
      <c r="AI10" s="55">
        <f t="shared" si="1"/>
        <v>59.960414505249865</v>
      </c>
      <c r="AJ10" s="55">
        <f t="shared" si="1"/>
        <v>61.04250779259975</v>
      </c>
      <c r="AK10" s="55">
        <f t="shared" si="1"/>
        <v>62.151134125489904</v>
      </c>
      <c r="AL10" s="55">
        <f t="shared" si="1"/>
        <v>63.281627931780953</v>
      </c>
      <c r="AM10" s="55">
        <f t="shared" si="1"/>
        <v>64.44114582369312</v>
      </c>
      <c r="AN10" s="55">
        <f t="shared" si="1"/>
        <v>65.627541440579762</v>
      </c>
      <c r="AO10" s="55">
        <f t="shared" si="1"/>
        <v>66.827329264124529</v>
      </c>
      <c r="AP10" s="55">
        <f t="shared" si="1"/>
        <v>68.045855731118394</v>
      </c>
      <c r="AQ10" s="55">
        <f t="shared" si="1"/>
        <v>69.290232803276538</v>
      </c>
      <c r="AR10" s="55">
        <f t="shared" si="1"/>
        <v>70.55822484193763</v>
      </c>
      <c r="AS10" s="55">
        <f t="shared" si="1"/>
        <v>71.859594798703171</v>
      </c>
      <c r="AT10" s="55">
        <f t="shared" si="1"/>
        <v>73.181920468283863</v>
      </c>
      <c r="AU10" s="55">
        <f t="shared" si="1"/>
        <v>74.534834295955392</v>
      </c>
      <c r="AV10" s="55">
        <f t="shared" si="1"/>
        <v>75.917832641076245</v>
      </c>
    </row>
    <row r="11" spans="1:49">
      <c r="A11" s="53" t="s">
        <v>676</v>
      </c>
      <c r="B11" t="s">
        <v>677</v>
      </c>
      <c r="C11" s="93">
        <f>Household_Histo!C27/1000</f>
        <v>2.1970999999999998</v>
      </c>
      <c r="D11" s="93">
        <f>Household_Histo!C28/1000</f>
        <v>2.2208999999999999</v>
      </c>
      <c r="E11" s="93">
        <f>Household_Histo!C29/1000</f>
        <v>2.2499000000000002</v>
      </c>
      <c r="F11" s="93">
        <f>Household_Histo!C30/1000</f>
        <v>2.2791000000000001</v>
      </c>
      <c r="G11" s="93">
        <f>Household_Histo!C31/1000</f>
        <v>2.2971999999999997</v>
      </c>
      <c r="H11" s="93">
        <f>Household_Histo!C32/1000</f>
        <v>2.3250999999999999</v>
      </c>
      <c r="I11" s="93">
        <f>Household_Histo!C33/1000</f>
        <v>2.3593000000000002</v>
      </c>
      <c r="J11" s="93">
        <f>Household_Histo!C34/1000</f>
        <v>2.3861999999999997</v>
      </c>
      <c r="K11" s="93">
        <f>Household_Histo!C35/1000</f>
        <v>2.4073000000000002</v>
      </c>
      <c r="L11" s="93">
        <f>Household_Histo!C36/1000</f>
        <v>2.4323999999999999</v>
      </c>
      <c r="M11" s="93">
        <f>Household_Histo!C37/1000</f>
        <v>2.4710999999999999</v>
      </c>
      <c r="N11" s="93">
        <f>Household_Histo!C38/1000</f>
        <v>2.4988999999999999</v>
      </c>
      <c r="O11" s="93">
        <f>Household_Histo!C39/1000</f>
        <v>2.5347</v>
      </c>
      <c r="P11" s="102">
        <f t="shared" ref="P11:AO11" si="2">TREND($V$33:$V$34,$U$33:$U$34,P7)</f>
        <v>2.5493407407407389</v>
      </c>
      <c r="Q11" s="102">
        <f t="shared" si="2"/>
        <v>2.5639814814814805</v>
      </c>
      <c r="R11" s="102">
        <f t="shared" si="2"/>
        <v>2.5786222222222221</v>
      </c>
      <c r="S11" s="102">
        <f t="shared" si="2"/>
        <v>2.5932629629629638</v>
      </c>
      <c r="T11" s="102">
        <f t="shared" si="2"/>
        <v>2.6079037037037018</v>
      </c>
      <c r="U11" s="102">
        <f t="shared" si="2"/>
        <v>2.6225444444444435</v>
      </c>
      <c r="V11" s="102">
        <f t="shared" si="2"/>
        <v>2.6371851851851851</v>
      </c>
      <c r="W11" s="102">
        <f t="shared" si="2"/>
        <v>2.6518259259259267</v>
      </c>
      <c r="X11" s="102">
        <f t="shared" si="2"/>
        <v>2.6664666666666648</v>
      </c>
      <c r="Y11" s="102">
        <f t="shared" si="2"/>
        <v>2.6811074074074064</v>
      </c>
      <c r="Z11" s="102">
        <f t="shared" si="2"/>
        <v>2.695748148148148</v>
      </c>
      <c r="AA11" s="102">
        <f t="shared" si="2"/>
        <v>2.7103888888888896</v>
      </c>
      <c r="AB11" s="102">
        <f t="shared" si="2"/>
        <v>2.7250296296296277</v>
      </c>
      <c r="AC11" s="102">
        <f t="shared" si="2"/>
        <v>2.7396703703703693</v>
      </c>
      <c r="AD11" s="102">
        <f t="shared" si="2"/>
        <v>2.7543111111111109</v>
      </c>
      <c r="AE11" s="102">
        <f t="shared" si="2"/>
        <v>2.7689518518518526</v>
      </c>
      <c r="AF11" s="102">
        <f t="shared" si="2"/>
        <v>2.7835925925925906</v>
      </c>
      <c r="AG11" s="102">
        <f t="shared" si="2"/>
        <v>2.7982333333333322</v>
      </c>
      <c r="AH11" s="102">
        <f t="shared" si="2"/>
        <v>2.8128740740740739</v>
      </c>
      <c r="AI11" s="102">
        <f t="shared" si="2"/>
        <v>2.8275148148148155</v>
      </c>
      <c r="AJ11" s="102">
        <f t="shared" si="2"/>
        <v>2.8421555555555535</v>
      </c>
      <c r="AK11" s="102">
        <f t="shared" si="2"/>
        <v>2.8567962962962952</v>
      </c>
      <c r="AL11" s="102">
        <f t="shared" si="2"/>
        <v>2.8714370370370368</v>
      </c>
      <c r="AM11" s="102">
        <f t="shared" si="2"/>
        <v>2.8860777777777784</v>
      </c>
      <c r="AN11" s="102">
        <f t="shared" si="2"/>
        <v>2.9007185185185165</v>
      </c>
      <c r="AO11" s="102">
        <f t="shared" si="2"/>
        <v>2.9153592592592581</v>
      </c>
      <c r="AP11" s="92">
        <v>2.93</v>
      </c>
      <c r="AQ11" s="102">
        <f>TREND($V$34:$V$35,$U$34:$U$35,AQ7)</f>
        <v>2.9260000000000002</v>
      </c>
      <c r="AR11" s="102">
        <f>TREND($V$34:$V$35,$U$34:$U$35,AR7)</f>
        <v>2.9219999999999988</v>
      </c>
      <c r="AS11" s="102">
        <f>TREND($V$34:$V$35,$U$34:$U$35,AS7)</f>
        <v>2.9179999999999993</v>
      </c>
      <c r="AT11" s="102">
        <f>TREND($V$34:$V$35,$U$34:$U$35,AT7)</f>
        <v>2.9139999999999997</v>
      </c>
      <c r="AU11" s="92">
        <v>2.91</v>
      </c>
      <c r="AV11" s="102">
        <f>TREND($V$34:$V$35,$U$34:$U$35,AV7)</f>
        <v>2.9060000000000006</v>
      </c>
    </row>
    <row r="12" spans="1:49">
      <c r="A12" s="53" t="s">
        <v>678</v>
      </c>
      <c r="B12" t="s">
        <v>677</v>
      </c>
      <c r="C12" s="93">
        <f t="shared" ref="C12:O12" si="3">C11</f>
        <v>2.1970999999999998</v>
      </c>
      <c r="D12" s="93">
        <f t="shared" si="3"/>
        <v>2.2208999999999999</v>
      </c>
      <c r="E12" s="93">
        <f t="shared" si="3"/>
        <v>2.2499000000000002</v>
      </c>
      <c r="F12" s="93">
        <f t="shared" si="3"/>
        <v>2.2791000000000001</v>
      </c>
      <c r="G12" s="93">
        <f t="shared" si="3"/>
        <v>2.2971999999999997</v>
      </c>
      <c r="H12" s="93">
        <f t="shared" si="3"/>
        <v>2.3250999999999999</v>
      </c>
      <c r="I12" s="93">
        <f t="shared" si="3"/>
        <v>2.3593000000000002</v>
      </c>
      <c r="J12" s="93">
        <f t="shared" si="3"/>
        <v>2.3861999999999997</v>
      </c>
      <c r="K12" s="93">
        <f t="shared" si="3"/>
        <v>2.4073000000000002</v>
      </c>
      <c r="L12" s="93">
        <f t="shared" si="3"/>
        <v>2.4323999999999999</v>
      </c>
      <c r="M12" s="93">
        <f t="shared" si="3"/>
        <v>2.4710999999999999</v>
      </c>
      <c r="N12" s="93">
        <f t="shared" si="3"/>
        <v>2.4988999999999999</v>
      </c>
      <c r="O12" s="93">
        <f t="shared" si="3"/>
        <v>2.5347</v>
      </c>
      <c r="P12" s="102">
        <f t="shared" ref="P12:AV12" si="4">-0.00040693*P7*P7+1.6681351*P7-1706.5786</f>
        <v>2.5672264799998175</v>
      </c>
      <c r="Q12" s="102">
        <f t="shared" si="4"/>
        <v>2.5925851700001203</v>
      </c>
      <c r="R12" s="102">
        <f t="shared" si="4"/>
        <v>2.6171299999996336</v>
      </c>
      <c r="S12" s="102">
        <f t="shared" si="4"/>
        <v>2.6408609699999488</v>
      </c>
      <c r="T12" s="102">
        <f t="shared" si="4"/>
        <v>2.6637780799997017</v>
      </c>
      <c r="U12" s="102">
        <f t="shared" si="4"/>
        <v>2.6858813300000293</v>
      </c>
      <c r="V12" s="102">
        <f t="shared" si="4"/>
        <v>2.7071707200000219</v>
      </c>
      <c r="W12" s="102">
        <f t="shared" si="4"/>
        <v>2.7276462499996796</v>
      </c>
      <c r="X12" s="102">
        <f t="shared" si="4"/>
        <v>2.7473079200001393</v>
      </c>
      <c r="Y12" s="102">
        <f t="shared" si="4"/>
        <v>2.7661557299998094</v>
      </c>
      <c r="Z12" s="102">
        <f t="shared" si="4"/>
        <v>2.7841896800000541</v>
      </c>
      <c r="AA12" s="102">
        <f t="shared" si="4"/>
        <v>2.8014097699997365</v>
      </c>
      <c r="AB12" s="102">
        <f t="shared" si="4"/>
        <v>2.8178159999999934</v>
      </c>
      <c r="AC12" s="102">
        <f t="shared" si="4"/>
        <v>2.8334083699996881</v>
      </c>
      <c r="AD12" s="102">
        <f t="shared" si="4"/>
        <v>2.8481868799999575</v>
      </c>
      <c r="AE12" s="102">
        <f t="shared" si="4"/>
        <v>2.8621515299998919</v>
      </c>
      <c r="AF12" s="102">
        <f t="shared" si="4"/>
        <v>2.8753023199999461</v>
      </c>
      <c r="AG12" s="102">
        <f t="shared" si="4"/>
        <v>2.8876392500001202</v>
      </c>
      <c r="AH12" s="102">
        <f t="shared" si="4"/>
        <v>2.8991623199997321</v>
      </c>
      <c r="AI12" s="102">
        <f t="shared" si="4"/>
        <v>2.9098715299999185</v>
      </c>
      <c r="AJ12" s="102">
        <f t="shared" si="4"/>
        <v>2.91976687999977</v>
      </c>
      <c r="AK12" s="102">
        <f t="shared" si="4"/>
        <v>2.9288483699999688</v>
      </c>
      <c r="AL12" s="102">
        <f t="shared" si="4"/>
        <v>2.93711600000006</v>
      </c>
      <c r="AM12" s="102">
        <f t="shared" si="4"/>
        <v>2.9445697699998163</v>
      </c>
      <c r="AN12" s="102">
        <f t="shared" si="4"/>
        <v>2.9512096800001473</v>
      </c>
      <c r="AO12" s="102">
        <f t="shared" si="4"/>
        <v>2.9570357299999159</v>
      </c>
      <c r="AP12" s="102">
        <f t="shared" si="4"/>
        <v>2.9620479200000318</v>
      </c>
      <c r="AQ12" s="102">
        <f t="shared" si="4"/>
        <v>2.9662462499995854</v>
      </c>
      <c r="AR12" s="102">
        <f t="shared" si="4"/>
        <v>2.969630719999941</v>
      </c>
      <c r="AS12" s="102">
        <f t="shared" si="4"/>
        <v>2.9722013299997343</v>
      </c>
      <c r="AT12" s="102">
        <f t="shared" si="4"/>
        <v>2.9739580799998748</v>
      </c>
      <c r="AU12" s="102">
        <f t="shared" si="4"/>
        <v>2.9749009699999078</v>
      </c>
      <c r="AV12" s="102">
        <f t="shared" si="4"/>
        <v>2.9750299999996059</v>
      </c>
      <c r="AW12" s="92">
        <f>Household_Pred!B21/10^6</f>
        <v>2.9495</v>
      </c>
    </row>
    <row r="13" spans="1:49">
      <c r="A13" s="53" t="s">
        <v>679</v>
      </c>
      <c r="B13" t="s">
        <v>680</v>
      </c>
      <c r="F13" t="s">
        <v>681</v>
      </c>
    </row>
    <row r="14" spans="1:49">
      <c r="A14" s="53" t="s">
        <v>682</v>
      </c>
      <c r="B14" t="s">
        <v>683</v>
      </c>
      <c r="C14" s="102">
        <f t="shared" ref="C14:AV14" si="5">TREND($AA$48:$AA$50,$T$48:$T$50,C7)</f>
        <v>3.1823114754098398</v>
      </c>
      <c r="D14" s="102">
        <f t="shared" si="5"/>
        <v>3.1695081967213135</v>
      </c>
      <c r="E14" s="102">
        <f t="shared" si="5"/>
        <v>3.1567049180327906</v>
      </c>
      <c r="F14" s="102">
        <f t="shared" si="5"/>
        <v>3.1439016393442643</v>
      </c>
      <c r="G14" s="102">
        <f t="shared" si="5"/>
        <v>3.1310983606557414</v>
      </c>
      <c r="H14" s="93">
        <f t="shared" si="5"/>
        <v>3.1182950819672151</v>
      </c>
      <c r="I14" s="102">
        <f t="shared" si="5"/>
        <v>3.1054918032786922</v>
      </c>
      <c r="J14" s="102">
        <f t="shared" si="5"/>
        <v>3.0926885245901659</v>
      </c>
      <c r="K14" s="102">
        <f t="shared" si="5"/>
        <v>3.079885245901643</v>
      </c>
      <c r="L14" s="102">
        <f t="shared" si="5"/>
        <v>3.0670819672131167</v>
      </c>
      <c r="M14" s="102">
        <f t="shared" si="5"/>
        <v>3.0542786885245938</v>
      </c>
      <c r="N14" s="102">
        <f t="shared" si="5"/>
        <v>3.0414754098360675</v>
      </c>
      <c r="O14" s="102">
        <f t="shared" si="5"/>
        <v>3.0286721311475446</v>
      </c>
      <c r="P14" s="102">
        <f t="shared" si="5"/>
        <v>3.0158688524590183</v>
      </c>
      <c r="Q14" s="102">
        <f t="shared" si="5"/>
        <v>3.0030655737704954</v>
      </c>
      <c r="R14" s="102">
        <f t="shared" si="5"/>
        <v>2.9902622950819691</v>
      </c>
      <c r="S14" s="102">
        <f t="shared" si="5"/>
        <v>2.9774590163934462</v>
      </c>
      <c r="T14" s="102">
        <f t="shared" si="5"/>
        <v>2.9646557377049199</v>
      </c>
      <c r="U14" s="102">
        <f t="shared" si="5"/>
        <v>2.951852459016397</v>
      </c>
      <c r="V14" s="102">
        <f t="shared" si="5"/>
        <v>2.9390491803278707</v>
      </c>
      <c r="W14" s="102">
        <f t="shared" si="5"/>
        <v>2.9262459016393478</v>
      </c>
      <c r="X14" s="102">
        <f t="shared" si="5"/>
        <v>2.9134426229508215</v>
      </c>
      <c r="Y14" s="102">
        <f t="shared" si="5"/>
        <v>2.9006393442622986</v>
      </c>
      <c r="Z14" s="102">
        <f t="shared" si="5"/>
        <v>2.8878360655737723</v>
      </c>
      <c r="AA14" s="102">
        <f t="shared" si="5"/>
        <v>2.8750327868852494</v>
      </c>
      <c r="AB14" s="102">
        <f t="shared" si="5"/>
        <v>2.8622295081967231</v>
      </c>
      <c r="AC14" s="102">
        <f t="shared" si="5"/>
        <v>2.8494262295082002</v>
      </c>
      <c r="AD14" s="102">
        <f t="shared" si="5"/>
        <v>2.8366229508196739</v>
      </c>
      <c r="AE14" s="102">
        <f t="shared" si="5"/>
        <v>2.823819672131151</v>
      </c>
      <c r="AF14" s="102">
        <f t="shared" si="5"/>
        <v>2.8110163934426247</v>
      </c>
      <c r="AG14" s="102">
        <f t="shared" si="5"/>
        <v>2.7982131147541018</v>
      </c>
      <c r="AH14" s="102">
        <f t="shared" si="5"/>
        <v>2.7854098360655755</v>
      </c>
      <c r="AI14" s="102">
        <f t="shared" si="5"/>
        <v>2.7726065573770526</v>
      </c>
      <c r="AJ14" s="102">
        <f t="shared" si="5"/>
        <v>2.7598032786885263</v>
      </c>
      <c r="AK14" s="102">
        <f t="shared" si="5"/>
        <v>2.7470000000000034</v>
      </c>
      <c r="AL14" s="102">
        <f t="shared" si="5"/>
        <v>2.7341967213114771</v>
      </c>
      <c r="AM14" s="102">
        <f t="shared" si="5"/>
        <v>2.7213934426229542</v>
      </c>
      <c r="AN14" s="102">
        <f t="shared" si="5"/>
        <v>2.7085901639344279</v>
      </c>
      <c r="AO14" s="102">
        <f t="shared" si="5"/>
        <v>2.695786885245905</v>
      </c>
      <c r="AP14" s="102">
        <f t="shared" si="5"/>
        <v>2.6829836065573787</v>
      </c>
      <c r="AQ14" s="102">
        <f t="shared" si="5"/>
        <v>2.6701803278688558</v>
      </c>
      <c r="AR14" s="102">
        <f t="shared" si="5"/>
        <v>2.6573770491803295</v>
      </c>
      <c r="AS14" s="102">
        <f t="shared" si="5"/>
        <v>2.6445737704918066</v>
      </c>
      <c r="AT14" s="102">
        <f t="shared" si="5"/>
        <v>2.6317704918032803</v>
      </c>
      <c r="AU14" s="102">
        <f t="shared" si="5"/>
        <v>2.6189672131147539</v>
      </c>
      <c r="AV14" s="102">
        <f t="shared" si="5"/>
        <v>2.6061639344262311</v>
      </c>
    </row>
    <row r="15" spans="1:49">
      <c r="A15" s="53" t="s">
        <v>684</v>
      </c>
      <c r="B15" t="s">
        <v>683</v>
      </c>
      <c r="C15" s="102">
        <f>C8/C11/1000</f>
        <v>3.1009967684675259</v>
      </c>
      <c r="D15" s="102">
        <f t="shared" ref="D15:AV15" si="6">D8/D11/1000</f>
        <v>3.0875320815885456</v>
      </c>
      <c r="E15" s="102">
        <f t="shared" si="6"/>
        <v>3.0740477354549087</v>
      </c>
      <c r="F15" s="102">
        <f t="shared" si="6"/>
        <v>3.0528717476196743</v>
      </c>
      <c r="G15" s="102">
        <f t="shared" si="6"/>
        <v>3.0353473794184227</v>
      </c>
      <c r="H15" s="102">
        <f t="shared" si="6"/>
        <v>3.0210313534901725</v>
      </c>
      <c r="I15" s="102">
        <f t="shared" si="6"/>
        <v>2.9973297164413175</v>
      </c>
      <c r="J15" s="102">
        <f t="shared" si="6"/>
        <v>2.9964378509764482</v>
      </c>
      <c r="K15" s="102">
        <f t="shared" si="6"/>
        <v>2.9821376646034974</v>
      </c>
      <c r="L15" s="102">
        <f t="shared" si="6"/>
        <v>2.9721674066765336</v>
      </c>
      <c r="M15" s="102">
        <f t="shared" si="6"/>
        <v>2.9506292744122051</v>
      </c>
      <c r="N15" s="102">
        <f t="shared" si="6"/>
        <v>2.9359318099963989</v>
      </c>
      <c r="O15" s="102">
        <f t="shared" si="6"/>
        <v>2.9162031009586937</v>
      </c>
      <c r="P15" s="102">
        <f t="shared" si="6"/>
        <v>2.9227164030787933</v>
      </c>
      <c r="Q15" s="102">
        <f t="shared" si="6"/>
        <v>2.9261521794084735</v>
      </c>
      <c r="R15" s="102">
        <f t="shared" si="6"/>
        <v>2.9310613764456477</v>
      </c>
      <c r="S15" s="102">
        <f t="shared" si="6"/>
        <v>2.9339099461424962</v>
      </c>
      <c r="T15" s="102">
        <f t="shared" si="6"/>
        <v>2.9363430824246541</v>
      </c>
      <c r="U15" s="102">
        <f t="shared" si="6"/>
        <v>2.938138957500986</v>
      </c>
      <c r="V15" s="102">
        <f t="shared" si="6"/>
        <v>2.9381326891747652</v>
      </c>
      <c r="W15" s="102">
        <f t="shared" si="6"/>
        <v>2.9371083236847282</v>
      </c>
      <c r="X15" s="102">
        <f t="shared" si="6"/>
        <v>2.9346701002575215</v>
      </c>
      <c r="Y15" s="102">
        <f t="shared" si="6"/>
        <v>2.9314752472375303</v>
      </c>
      <c r="Z15" s="102">
        <f t="shared" si="6"/>
        <v>2.9287602424668755</v>
      </c>
      <c r="AA15" s="102">
        <f t="shared" si="6"/>
        <v>2.9259638838215092</v>
      </c>
      <c r="AB15" s="102">
        <f t="shared" si="6"/>
        <v>2.9224636361412335</v>
      </c>
      <c r="AC15" s="102">
        <f t="shared" si="6"/>
        <v>2.9186722922871242</v>
      </c>
      <c r="AD15" s="102">
        <f t="shared" si="6"/>
        <v>2.9147034144452335</v>
      </c>
      <c r="AE15" s="102">
        <f t="shared" si="6"/>
        <v>2.9108487367194695</v>
      </c>
      <c r="AF15" s="102">
        <f t="shared" si="6"/>
        <v>2.9063879612012204</v>
      </c>
      <c r="AG15" s="102">
        <f t="shared" si="6"/>
        <v>2.9008302857755499</v>
      </c>
      <c r="AH15" s="102">
        <f t="shared" si="6"/>
        <v>2.894441694010081</v>
      </c>
      <c r="AI15" s="102">
        <f t="shared" si="6"/>
        <v>2.8871643597505456</v>
      </c>
      <c r="AJ15" s="102">
        <f t="shared" si="6"/>
        <v>2.8788009101073539</v>
      </c>
      <c r="AK15" s="102">
        <f t="shared" si="6"/>
        <v>2.8690180012575617</v>
      </c>
      <c r="AL15" s="102">
        <f t="shared" si="6"/>
        <v>2.8581507775175163</v>
      </c>
      <c r="AM15" s="102">
        <f t="shared" si="6"/>
        <v>2.8460078460963927</v>
      </c>
      <c r="AN15" s="102">
        <f t="shared" si="6"/>
        <v>2.832780894644241</v>
      </c>
      <c r="AO15" s="102">
        <f t="shared" si="6"/>
        <v>2.8190350722292039</v>
      </c>
      <c r="AP15" s="102">
        <f t="shared" si="6"/>
        <v>2.8046416382252559</v>
      </c>
      <c r="AQ15" s="102">
        <f t="shared" si="6"/>
        <v>2.8071428571428574</v>
      </c>
      <c r="AR15" s="102">
        <f t="shared" si="6"/>
        <v>2.8087611225188245</v>
      </c>
      <c r="AS15" s="102">
        <f t="shared" si="6"/>
        <v>2.8091501028101447</v>
      </c>
      <c r="AT15" s="102">
        <f t="shared" si="6"/>
        <v>2.8088538091969806</v>
      </c>
      <c r="AU15" s="102">
        <f t="shared" si="6"/>
        <v>2.8075601374570445</v>
      </c>
      <c r="AV15" s="102">
        <f t="shared" si="6"/>
        <v>2.8053337921541632</v>
      </c>
    </row>
    <row r="16" spans="1:49">
      <c r="A16" s="53" t="s">
        <v>685</v>
      </c>
      <c r="B16" t="s">
        <v>683</v>
      </c>
      <c r="C16" s="102">
        <f t="shared" ref="C16:AV16" si="7">C8/C12/1000</f>
        <v>3.1009967684675259</v>
      </c>
      <c r="D16" s="102">
        <f t="shared" si="7"/>
        <v>3.0875320815885456</v>
      </c>
      <c r="E16" s="102">
        <f t="shared" si="7"/>
        <v>3.0740477354549087</v>
      </c>
      <c r="F16" s="102">
        <f t="shared" si="7"/>
        <v>3.0528717476196743</v>
      </c>
      <c r="G16" s="102">
        <f t="shared" si="7"/>
        <v>3.0353473794184227</v>
      </c>
      <c r="H16" s="102">
        <f t="shared" si="7"/>
        <v>3.0210313534901725</v>
      </c>
      <c r="I16" s="102">
        <f t="shared" si="7"/>
        <v>2.9973297164413175</v>
      </c>
      <c r="J16" s="102">
        <f t="shared" si="7"/>
        <v>2.9964378509764482</v>
      </c>
      <c r="K16" s="102">
        <f t="shared" si="7"/>
        <v>2.9821376646034974</v>
      </c>
      <c r="L16" s="102">
        <f t="shared" si="7"/>
        <v>2.9721674066765336</v>
      </c>
      <c r="M16" s="102">
        <f t="shared" si="7"/>
        <v>2.9506292744122051</v>
      </c>
      <c r="N16" s="102">
        <f t="shared" si="7"/>
        <v>2.9359318099963989</v>
      </c>
      <c r="O16" s="102">
        <f t="shared" si="7"/>
        <v>2.9162031009586937</v>
      </c>
      <c r="P16" s="102">
        <f t="shared" si="7"/>
        <v>2.9023539831984477</v>
      </c>
      <c r="Q16" s="102">
        <f t="shared" si="7"/>
        <v>2.8938682851447659</v>
      </c>
      <c r="R16" s="102">
        <f t="shared" si="7"/>
        <v>2.8879344931283732</v>
      </c>
      <c r="S16" s="102">
        <f t="shared" si="7"/>
        <v>2.8810301210215346</v>
      </c>
      <c r="T16" s="102">
        <f t="shared" si="7"/>
        <v>2.8747514883074858</v>
      </c>
      <c r="U16" s="102">
        <f t="shared" si="7"/>
        <v>2.8688534798370693</v>
      </c>
      <c r="V16" s="102">
        <f t="shared" si="7"/>
        <v>2.8621763462335088</v>
      </c>
      <c r="W16" s="102">
        <f t="shared" si="7"/>
        <v>2.855465586859335</v>
      </c>
      <c r="X16" s="102">
        <f t="shared" si="7"/>
        <v>2.8483155976195063</v>
      </c>
      <c r="Y16" s="102">
        <f t="shared" si="7"/>
        <v>2.8413440048802103</v>
      </c>
      <c r="Z16" s="102">
        <f t="shared" si="7"/>
        <v>2.8357263360015925</v>
      </c>
      <c r="AA16" s="102">
        <f t="shared" si="7"/>
        <v>2.8308961027150077</v>
      </c>
      <c r="AB16" s="102">
        <f t="shared" si="7"/>
        <v>2.8262313791958094</v>
      </c>
      <c r="AC16" s="102">
        <f t="shared" si="7"/>
        <v>2.8221134957686593</v>
      </c>
      <c r="AD16" s="102">
        <f t="shared" si="7"/>
        <v>2.8186352715732332</v>
      </c>
      <c r="AE16" s="102">
        <f t="shared" si="7"/>
        <v>2.8160633409930971</v>
      </c>
      <c r="AF16" s="102">
        <f t="shared" si="7"/>
        <v>2.8136867360786435</v>
      </c>
      <c r="AG16" s="102">
        <f t="shared" si="7"/>
        <v>2.811015953602813</v>
      </c>
      <c r="AH16" s="102">
        <f t="shared" si="7"/>
        <v>2.8082939488537342</v>
      </c>
      <c r="AI16" s="102">
        <f t="shared" si="7"/>
        <v>2.8054503148461092</v>
      </c>
      <c r="AJ16" s="102">
        <f t="shared" si="7"/>
        <v>2.8022785161535375</v>
      </c>
      <c r="AK16" s="102">
        <f t="shared" si="7"/>
        <v>2.798437803729692</v>
      </c>
      <c r="AL16" s="102">
        <f t="shared" si="7"/>
        <v>2.7942376126785025</v>
      </c>
      <c r="AM16" s="102">
        <f t="shared" si="7"/>
        <v>2.7894737233550124</v>
      </c>
      <c r="AN16" s="102">
        <f t="shared" si="7"/>
        <v>2.7843158877140812</v>
      </c>
      <c r="AO16" s="102">
        <f t="shared" si="7"/>
        <v>2.7793035831867456</v>
      </c>
      <c r="AP16" s="102">
        <f t="shared" si="7"/>
        <v>2.7742967777509531</v>
      </c>
      <c r="AQ16" s="102">
        <f t="shared" si="7"/>
        <v>2.7690553338250825</v>
      </c>
      <c r="AR16" s="102">
        <f t="shared" si="7"/>
        <v>2.7637106340279787</v>
      </c>
      <c r="AS16" s="102">
        <f t="shared" si="7"/>
        <v>2.7579221896118096</v>
      </c>
      <c r="AT16" s="102">
        <f t="shared" si="7"/>
        <v>2.7522244025713851</v>
      </c>
      <c r="AU16" s="102">
        <f t="shared" si="7"/>
        <v>2.7463099048975246</v>
      </c>
      <c r="AV16" s="102">
        <f t="shared" si="7"/>
        <v>2.7402412748782634</v>
      </c>
    </row>
    <row r="17" spans="1:48">
      <c r="A17" s="53" t="s">
        <v>686</v>
      </c>
      <c r="B17" t="s">
        <v>687</v>
      </c>
      <c r="C17" s="102">
        <f t="shared" ref="C17:AV17" si="8">C11*$R$105</f>
        <v>95.573849999999993</v>
      </c>
      <c r="D17" s="102">
        <f t="shared" si="8"/>
        <v>96.60915</v>
      </c>
      <c r="E17" s="102">
        <f t="shared" si="8"/>
        <v>97.870650000000012</v>
      </c>
      <c r="F17" s="102">
        <f t="shared" si="8"/>
        <v>99.14085</v>
      </c>
      <c r="G17" s="102">
        <f t="shared" si="8"/>
        <v>99.92819999999999</v>
      </c>
      <c r="H17" s="102">
        <f t="shared" si="8"/>
        <v>101.14184999999999</v>
      </c>
      <c r="I17" s="102">
        <f t="shared" si="8"/>
        <v>102.62955000000001</v>
      </c>
      <c r="J17" s="102">
        <f t="shared" si="8"/>
        <v>103.79969999999999</v>
      </c>
      <c r="K17" s="102">
        <f t="shared" si="8"/>
        <v>104.71755</v>
      </c>
      <c r="L17" s="102">
        <f t="shared" si="8"/>
        <v>105.8094</v>
      </c>
      <c r="M17" s="102">
        <f t="shared" si="8"/>
        <v>107.49284999999999</v>
      </c>
      <c r="N17" s="102">
        <f t="shared" si="8"/>
        <v>108.70214999999999</v>
      </c>
      <c r="O17" s="102">
        <f t="shared" si="8"/>
        <v>110.25945</v>
      </c>
      <c r="P17" s="102">
        <f t="shared" si="8"/>
        <v>110.89632222222214</v>
      </c>
      <c r="Q17" s="102">
        <f t="shared" si="8"/>
        <v>111.5331944444444</v>
      </c>
      <c r="R17" s="102">
        <f t="shared" si="8"/>
        <v>112.17006666666666</v>
      </c>
      <c r="S17" s="102">
        <f t="shared" si="8"/>
        <v>112.80693888888892</v>
      </c>
      <c r="T17" s="102">
        <f t="shared" si="8"/>
        <v>113.44381111111103</v>
      </c>
      <c r="U17" s="102">
        <f t="shared" si="8"/>
        <v>114.0806833333333</v>
      </c>
      <c r="V17" s="102">
        <f t="shared" si="8"/>
        <v>114.71755555555555</v>
      </c>
      <c r="W17" s="102">
        <f t="shared" si="8"/>
        <v>115.35442777777781</v>
      </c>
      <c r="X17" s="102">
        <f t="shared" si="8"/>
        <v>115.99129999999991</v>
      </c>
      <c r="Y17" s="102">
        <f t="shared" si="8"/>
        <v>116.62817222222218</v>
      </c>
      <c r="Z17" s="102">
        <f t="shared" si="8"/>
        <v>117.26504444444444</v>
      </c>
      <c r="AA17" s="102">
        <f t="shared" si="8"/>
        <v>117.90191666666669</v>
      </c>
      <c r="AB17" s="102">
        <f t="shared" si="8"/>
        <v>118.5387888888888</v>
      </c>
      <c r="AC17" s="102">
        <f t="shared" si="8"/>
        <v>119.17566111111107</v>
      </c>
      <c r="AD17" s="102">
        <f t="shared" si="8"/>
        <v>119.81253333333332</v>
      </c>
      <c r="AE17" s="102">
        <f t="shared" si="8"/>
        <v>120.44940555555559</v>
      </c>
      <c r="AF17" s="102">
        <f t="shared" si="8"/>
        <v>121.0862777777777</v>
      </c>
      <c r="AG17" s="102">
        <f t="shared" si="8"/>
        <v>121.72314999999995</v>
      </c>
      <c r="AH17" s="102">
        <f t="shared" si="8"/>
        <v>122.36002222222221</v>
      </c>
      <c r="AI17" s="102">
        <f t="shared" si="8"/>
        <v>122.99689444444448</v>
      </c>
      <c r="AJ17" s="102">
        <f t="shared" si="8"/>
        <v>123.63376666666657</v>
      </c>
      <c r="AK17" s="102">
        <f t="shared" si="8"/>
        <v>124.27063888888884</v>
      </c>
      <c r="AL17" s="102">
        <f t="shared" si="8"/>
        <v>124.90751111111111</v>
      </c>
      <c r="AM17" s="102">
        <f t="shared" si="8"/>
        <v>125.54438333333336</v>
      </c>
      <c r="AN17" s="102">
        <f t="shared" si="8"/>
        <v>126.18125555555547</v>
      </c>
      <c r="AO17" s="102">
        <f t="shared" si="8"/>
        <v>126.81812777777773</v>
      </c>
      <c r="AP17" s="102">
        <f t="shared" si="8"/>
        <v>127.45500000000001</v>
      </c>
      <c r="AQ17" s="102">
        <f t="shared" si="8"/>
        <v>127.28100000000001</v>
      </c>
      <c r="AR17" s="102">
        <f t="shared" si="8"/>
        <v>127.10699999999994</v>
      </c>
      <c r="AS17" s="102">
        <f t="shared" si="8"/>
        <v>126.93299999999996</v>
      </c>
      <c r="AT17" s="102">
        <f t="shared" si="8"/>
        <v>126.75899999999999</v>
      </c>
      <c r="AU17" s="102">
        <f t="shared" si="8"/>
        <v>126.58500000000001</v>
      </c>
      <c r="AV17" s="102">
        <f t="shared" si="8"/>
        <v>126.41100000000003</v>
      </c>
    </row>
    <row r="18" spans="1:48">
      <c r="A18" s="53" t="s">
        <v>688</v>
      </c>
      <c r="B18" t="s">
        <v>687</v>
      </c>
      <c r="C18" s="102">
        <f t="shared" ref="C18:AV18" si="9">C8*$R$106/1000</f>
        <v>102.19799999999999</v>
      </c>
      <c r="D18" s="102">
        <f t="shared" si="9"/>
        <v>102.8565</v>
      </c>
      <c r="E18" s="102">
        <f t="shared" si="9"/>
        <v>103.7445</v>
      </c>
      <c r="F18" s="102">
        <f t="shared" si="9"/>
        <v>104.367</v>
      </c>
      <c r="G18" s="102">
        <f t="shared" si="9"/>
        <v>104.592</v>
      </c>
      <c r="H18" s="102">
        <f t="shared" si="9"/>
        <v>105.363</v>
      </c>
      <c r="I18" s="102">
        <f t="shared" si="9"/>
        <v>106.074</v>
      </c>
      <c r="J18" s="102">
        <f t="shared" si="9"/>
        <v>107.25149999999999</v>
      </c>
      <c r="K18" s="102">
        <f t="shared" si="9"/>
        <v>107.6835</v>
      </c>
      <c r="L18" s="102">
        <f t="shared" si="9"/>
        <v>108.4425</v>
      </c>
      <c r="M18" s="102">
        <f t="shared" si="9"/>
        <v>109.3695</v>
      </c>
      <c r="N18" s="102">
        <f t="shared" si="9"/>
        <v>110.04900000000001</v>
      </c>
      <c r="O18" s="102">
        <f t="shared" si="9"/>
        <v>110.8755</v>
      </c>
      <c r="P18" s="102">
        <f t="shared" si="9"/>
        <v>111.765</v>
      </c>
      <c r="Q18" s="102">
        <f t="shared" si="9"/>
        <v>112.539</v>
      </c>
      <c r="R18" s="102">
        <f t="shared" si="9"/>
        <v>113.3715</v>
      </c>
      <c r="S18" s="102">
        <f t="shared" si="9"/>
        <v>114.126</v>
      </c>
      <c r="T18" s="102">
        <f t="shared" si="9"/>
        <v>114.8655</v>
      </c>
      <c r="U18" s="102">
        <f t="shared" si="9"/>
        <v>115.581</v>
      </c>
      <c r="V18" s="102">
        <f t="shared" si="9"/>
        <v>116.226</v>
      </c>
      <c r="W18" s="102">
        <f t="shared" si="9"/>
        <v>116.8305</v>
      </c>
      <c r="X18" s="102">
        <f t="shared" si="9"/>
        <v>117.378</v>
      </c>
      <c r="Y18" s="102">
        <f t="shared" si="9"/>
        <v>117.89400000000001</v>
      </c>
      <c r="Z18" s="102">
        <f t="shared" si="9"/>
        <v>118.428</v>
      </c>
      <c r="AA18" s="102">
        <f t="shared" si="9"/>
        <v>118.9575</v>
      </c>
      <c r="AB18" s="102">
        <f t="shared" si="9"/>
        <v>119.45699999999999</v>
      </c>
      <c r="AC18" s="102">
        <f t="shared" si="9"/>
        <v>119.943</v>
      </c>
      <c r="AD18" s="102">
        <f t="shared" si="9"/>
        <v>120.42</v>
      </c>
      <c r="AE18" s="102">
        <f t="shared" si="9"/>
        <v>120.9</v>
      </c>
      <c r="AF18" s="102">
        <f t="shared" si="9"/>
        <v>121.35299999999999</v>
      </c>
      <c r="AG18" s="102">
        <f t="shared" si="9"/>
        <v>121.758</v>
      </c>
      <c r="AH18" s="102">
        <f t="shared" si="9"/>
        <v>122.1255</v>
      </c>
      <c r="AI18" s="102">
        <f t="shared" si="9"/>
        <v>122.4525</v>
      </c>
      <c r="AJ18" s="102">
        <f t="shared" si="9"/>
        <v>122.73</v>
      </c>
      <c r="AK18" s="102">
        <f t="shared" si="9"/>
        <v>122.94300000000001</v>
      </c>
      <c r="AL18" s="102">
        <f t="shared" si="9"/>
        <v>123.105</v>
      </c>
      <c r="AM18" s="102">
        <f t="shared" si="9"/>
        <v>123.20699999999998</v>
      </c>
      <c r="AN18" s="102">
        <f t="shared" si="9"/>
        <v>123.2565</v>
      </c>
      <c r="AO18" s="102">
        <f t="shared" si="9"/>
        <v>123.2775</v>
      </c>
      <c r="AP18" s="102">
        <f t="shared" si="9"/>
        <v>123.264</v>
      </c>
      <c r="AQ18" s="102">
        <f t="shared" si="9"/>
        <v>123.20550000000001</v>
      </c>
      <c r="AR18" s="102">
        <f t="shared" si="9"/>
        <v>123.10800000000002</v>
      </c>
      <c r="AS18" s="102">
        <f t="shared" si="9"/>
        <v>122.95650000000001</v>
      </c>
      <c r="AT18" s="102">
        <f t="shared" si="9"/>
        <v>122.77500000000001</v>
      </c>
      <c r="AU18" s="102">
        <f t="shared" si="9"/>
        <v>122.55</v>
      </c>
      <c r="AV18" s="102">
        <f t="shared" si="9"/>
        <v>122.28449999999999</v>
      </c>
    </row>
    <row r="19" spans="1:48">
      <c r="A19" s="53" t="s">
        <v>689</v>
      </c>
      <c r="B19" t="s">
        <v>690</v>
      </c>
      <c r="C19" s="55">
        <f>N74</f>
        <v>42.557142857142935</v>
      </c>
      <c r="D19" s="55">
        <f t="shared" ref="D19:AV19" si="10">O74</f>
        <v>43.285714285714448</v>
      </c>
      <c r="E19" s="55">
        <f t="shared" si="10"/>
        <v>44.014285714285734</v>
      </c>
      <c r="F19" s="55">
        <f t="shared" si="10"/>
        <v>44.742857142857247</v>
      </c>
      <c r="G19" s="55">
        <f t="shared" si="10"/>
        <v>45.471428571428532</v>
      </c>
      <c r="H19" s="64">
        <f t="shared" si="10"/>
        <v>46.200000000000045</v>
      </c>
      <c r="I19" s="55">
        <f t="shared" si="10"/>
        <v>46.370000000000005</v>
      </c>
      <c r="J19" s="55">
        <f t="shared" si="10"/>
        <v>46.539999999999964</v>
      </c>
      <c r="K19" s="55">
        <f t="shared" si="10"/>
        <v>46.70999999999998</v>
      </c>
      <c r="L19" s="55">
        <f t="shared" si="10"/>
        <v>46.879999999999995</v>
      </c>
      <c r="M19" s="55">
        <f t="shared" si="10"/>
        <v>47.050000000000011</v>
      </c>
      <c r="N19" s="55">
        <f t="shared" si="10"/>
        <v>47.21999999999997</v>
      </c>
      <c r="O19" s="55">
        <f t="shared" si="10"/>
        <v>47.389999999999986</v>
      </c>
      <c r="P19" s="55">
        <f t="shared" si="10"/>
        <v>47.56</v>
      </c>
      <c r="Q19" s="55">
        <f t="shared" si="10"/>
        <v>47.729999999999961</v>
      </c>
      <c r="R19" s="65">
        <f t="shared" si="10"/>
        <v>47.899999999999977</v>
      </c>
      <c r="S19" s="55">
        <f t="shared" si="10"/>
        <v>48.269999999999982</v>
      </c>
      <c r="T19" s="55">
        <f t="shared" si="10"/>
        <v>48.639999999999986</v>
      </c>
      <c r="U19" s="55">
        <f t="shared" si="10"/>
        <v>49.009999999999991</v>
      </c>
      <c r="V19" s="55">
        <f t="shared" si="10"/>
        <v>49.379999999999995</v>
      </c>
      <c r="W19" s="55">
        <f t="shared" si="10"/>
        <v>49.75</v>
      </c>
      <c r="X19" s="55">
        <f t="shared" si="10"/>
        <v>50.120000000000005</v>
      </c>
      <c r="Y19" s="55">
        <f t="shared" si="10"/>
        <v>50.490000000000009</v>
      </c>
      <c r="Z19" s="55">
        <f t="shared" si="10"/>
        <v>50.860000000000014</v>
      </c>
      <c r="AA19" s="55">
        <f t="shared" si="10"/>
        <v>51.230000000000018</v>
      </c>
      <c r="AB19" s="65">
        <f t="shared" si="10"/>
        <v>51.600000000000023</v>
      </c>
      <c r="AC19" s="55">
        <f t="shared" si="10"/>
        <v>51.970000000000027</v>
      </c>
      <c r="AD19" s="55">
        <f t="shared" si="10"/>
        <v>52.340000000000032</v>
      </c>
      <c r="AE19" s="55">
        <f t="shared" si="10"/>
        <v>52.710000000000036</v>
      </c>
      <c r="AF19" s="55">
        <f t="shared" si="10"/>
        <v>53.080000000000041</v>
      </c>
      <c r="AG19" s="55">
        <f t="shared" si="10"/>
        <v>53.450000000000045</v>
      </c>
      <c r="AH19" s="55">
        <f t="shared" si="10"/>
        <v>53.819999999999936</v>
      </c>
      <c r="AI19" s="55">
        <f t="shared" si="10"/>
        <v>54.189999999999941</v>
      </c>
      <c r="AJ19" s="55">
        <f t="shared" si="10"/>
        <v>54.559999999999945</v>
      </c>
      <c r="AK19" s="55">
        <f t="shared" si="10"/>
        <v>54.92999999999995</v>
      </c>
      <c r="AL19" s="55">
        <f t="shared" si="10"/>
        <v>55.299999999999955</v>
      </c>
      <c r="AM19" s="55">
        <f t="shared" si="10"/>
        <v>55.669999999999959</v>
      </c>
      <c r="AN19" s="55">
        <f t="shared" si="10"/>
        <v>56.039999999999964</v>
      </c>
      <c r="AO19" s="55">
        <f t="shared" si="10"/>
        <v>56.409999999999968</v>
      </c>
      <c r="AP19" s="55">
        <f t="shared" si="10"/>
        <v>56.779999999999973</v>
      </c>
      <c r="AQ19" s="55">
        <f t="shared" si="10"/>
        <v>57.149999999999977</v>
      </c>
      <c r="AR19" s="55">
        <f t="shared" si="10"/>
        <v>57.519999999999982</v>
      </c>
      <c r="AS19" s="55">
        <f t="shared" si="10"/>
        <v>57.889999999999986</v>
      </c>
      <c r="AT19" s="55">
        <f t="shared" si="10"/>
        <v>58.259999999999991</v>
      </c>
      <c r="AU19" s="55">
        <f t="shared" si="10"/>
        <v>58.629999999999995</v>
      </c>
      <c r="AV19" s="55">
        <f t="shared" si="10"/>
        <v>59</v>
      </c>
    </row>
    <row r="21" spans="1:48" s="54" customFormat="1">
      <c r="A21" s="54" t="s">
        <v>691</v>
      </c>
      <c r="B21" s="54" t="s">
        <v>669</v>
      </c>
      <c r="C21" s="54">
        <v>2005</v>
      </c>
      <c r="D21" s="54">
        <v>2006</v>
      </c>
      <c r="E21" s="54">
        <v>2007</v>
      </c>
      <c r="F21" s="54">
        <v>2008</v>
      </c>
      <c r="G21" s="54">
        <v>2009</v>
      </c>
      <c r="H21" s="54">
        <v>2010</v>
      </c>
      <c r="I21" s="54">
        <v>2011</v>
      </c>
      <c r="J21" s="54">
        <v>2012</v>
      </c>
      <c r="K21" s="54">
        <v>2013</v>
      </c>
      <c r="L21" s="54">
        <v>2014</v>
      </c>
      <c r="M21" s="54">
        <v>2015</v>
      </c>
      <c r="N21" s="54">
        <v>2016</v>
      </c>
      <c r="O21" s="54">
        <v>2017</v>
      </c>
      <c r="P21" s="54">
        <v>2018</v>
      </c>
      <c r="Q21" s="54">
        <v>2019</v>
      </c>
      <c r="R21" s="54">
        <v>2020</v>
      </c>
      <c r="S21" s="54">
        <v>2021</v>
      </c>
      <c r="T21" s="54">
        <v>2022</v>
      </c>
      <c r="U21" s="54">
        <v>2023</v>
      </c>
      <c r="V21" s="54">
        <v>2024</v>
      </c>
      <c r="W21" s="54">
        <v>2025</v>
      </c>
      <c r="X21" s="54">
        <v>2026</v>
      </c>
      <c r="Y21" s="54">
        <v>2027</v>
      </c>
      <c r="Z21" s="54">
        <v>2028</v>
      </c>
      <c r="AA21" s="54">
        <v>2029</v>
      </c>
      <c r="AB21" s="54">
        <v>2030</v>
      </c>
      <c r="AC21" s="54">
        <v>2031</v>
      </c>
      <c r="AD21" s="54">
        <v>2032</v>
      </c>
      <c r="AE21" s="54">
        <v>2033</v>
      </c>
      <c r="AF21" s="54">
        <v>2034</v>
      </c>
      <c r="AG21" s="54">
        <v>2035</v>
      </c>
      <c r="AH21" s="54">
        <v>2036</v>
      </c>
      <c r="AI21" s="54">
        <v>2037</v>
      </c>
      <c r="AJ21" s="54">
        <v>2038</v>
      </c>
      <c r="AK21" s="54">
        <v>2039</v>
      </c>
      <c r="AL21" s="54">
        <v>2040</v>
      </c>
      <c r="AM21" s="54">
        <v>2041</v>
      </c>
      <c r="AN21" s="54">
        <v>2042</v>
      </c>
      <c r="AO21" s="54">
        <v>2043</v>
      </c>
      <c r="AP21" s="54">
        <v>2044</v>
      </c>
      <c r="AQ21" s="54">
        <v>2045</v>
      </c>
      <c r="AR21" s="54">
        <v>2046</v>
      </c>
      <c r="AS21" s="54">
        <v>2047</v>
      </c>
      <c r="AT21" s="54">
        <v>2048</v>
      </c>
      <c r="AU21" s="54">
        <v>2049</v>
      </c>
      <c r="AV21" s="54">
        <v>2050</v>
      </c>
    </row>
    <row r="22" spans="1:48">
      <c r="A22" s="53" t="s">
        <v>692</v>
      </c>
      <c r="B22" t="s">
        <v>693</v>
      </c>
      <c r="D22" s="62">
        <v>53982</v>
      </c>
      <c r="E22" s="62">
        <v>54717</v>
      </c>
      <c r="F22" s="62">
        <v>55849</v>
      </c>
      <c r="G22" s="62">
        <v>57731</v>
      </c>
      <c r="H22" s="62">
        <v>58396</v>
      </c>
      <c r="I22" s="62">
        <v>58826</v>
      </c>
      <c r="J22" s="62">
        <v>59932</v>
      </c>
      <c r="K22" s="62">
        <v>58394</v>
      </c>
      <c r="L22" s="62">
        <v>61910</v>
      </c>
      <c r="M22" s="62">
        <v>60214</v>
      </c>
      <c r="N22" s="62">
        <v>61439</v>
      </c>
    </row>
    <row r="23" spans="1:48">
      <c r="A23" s="53" t="s">
        <v>694</v>
      </c>
      <c r="B23" s="53" t="s">
        <v>693</v>
      </c>
      <c r="D23" s="62">
        <v>111884</v>
      </c>
      <c r="E23" s="62">
        <v>113914</v>
      </c>
      <c r="F23" s="62">
        <v>113753</v>
      </c>
      <c r="G23" s="62">
        <v>114297</v>
      </c>
      <c r="H23" s="62">
        <v>116391</v>
      </c>
      <c r="I23" s="62">
        <v>118558</v>
      </c>
      <c r="J23" s="62">
        <v>120970</v>
      </c>
      <c r="K23" s="62">
        <v>121215</v>
      </c>
      <c r="L23" s="62">
        <v>122711</v>
      </c>
      <c r="M23" s="62">
        <v>123674</v>
      </c>
      <c r="N23" s="62">
        <v>123969</v>
      </c>
    </row>
    <row r="27" spans="1:48" s="103" customFormat="1">
      <c r="A27" s="110" t="s">
        <v>695</v>
      </c>
    </row>
    <row r="31" spans="1:48">
      <c r="U31" t="s">
        <v>696</v>
      </c>
    </row>
    <row r="32" spans="1:48">
      <c r="U32" t="s">
        <v>557</v>
      </c>
      <c r="V32" t="s">
        <v>697</v>
      </c>
    </row>
    <row r="33" spans="20:27">
      <c r="U33">
        <v>2017</v>
      </c>
      <c r="V33" s="62">
        <v>2.5347</v>
      </c>
    </row>
    <row r="34" spans="20:27">
      <c r="U34">
        <v>2044</v>
      </c>
      <c r="V34" s="66">
        <v>2.93</v>
      </c>
    </row>
    <row r="35" spans="20:27">
      <c r="U35">
        <v>2049</v>
      </c>
      <c r="V35" s="66">
        <v>2.91</v>
      </c>
    </row>
    <row r="46" spans="20:27">
      <c r="T46" t="s">
        <v>698</v>
      </c>
      <c r="Z46" t="s">
        <v>699</v>
      </c>
    </row>
    <row r="47" spans="20:27">
      <c r="U47">
        <v>1</v>
      </c>
      <c r="V47">
        <v>2</v>
      </c>
      <c r="W47">
        <v>3</v>
      </c>
      <c r="X47">
        <v>4</v>
      </c>
      <c r="Y47" t="s">
        <v>700</v>
      </c>
      <c r="Z47">
        <v>7</v>
      </c>
      <c r="AA47" t="s">
        <v>701</v>
      </c>
    </row>
    <row r="48" spans="20:27">
      <c r="T48">
        <v>2014</v>
      </c>
      <c r="U48" s="101">
        <v>0.17299999999999999</v>
      </c>
      <c r="V48" s="101">
        <v>0.26300000000000001</v>
      </c>
      <c r="W48" s="101">
        <v>0.24399999999999999</v>
      </c>
      <c r="X48" s="101">
        <v>0.20100000000000001</v>
      </c>
      <c r="Y48" s="101">
        <v>0.11899999999999999</v>
      </c>
      <c r="Z48" s="101">
        <f>Y48</f>
        <v>0.11899999999999999</v>
      </c>
      <c r="AA48">
        <f>U$47*U48+V$47*V48+W$47*W48+X$47*X48+Z$47*Z48</f>
        <v>3.0680000000000005</v>
      </c>
    </row>
    <row r="49" spans="13:68">
      <c r="T49">
        <v>2019</v>
      </c>
      <c r="U49" s="101">
        <v>0.18099999999999999</v>
      </c>
      <c r="V49" s="101">
        <v>0.27400000000000002</v>
      </c>
      <c r="W49" s="101">
        <v>0.24399999999999999</v>
      </c>
      <c r="X49" s="101">
        <v>0.189</v>
      </c>
      <c r="Y49" s="101">
        <v>0.112</v>
      </c>
      <c r="Z49" s="101">
        <f>Y49</f>
        <v>0.112</v>
      </c>
      <c r="AA49">
        <f>U$47*U49+V$47*V49+W$47*W49+X$47*X49+Z$47*Z49</f>
        <v>3.0010000000000003</v>
      </c>
    </row>
    <row r="50" spans="13:68">
      <c r="T50">
        <v>2023</v>
      </c>
      <c r="U50" s="101">
        <v>0.186</v>
      </c>
      <c r="V50" s="101">
        <v>0.28599999999999998</v>
      </c>
      <c r="W50" s="101">
        <v>0.24099999999999999</v>
      </c>
      <c r="X50" s="101">
        <v>0.17899999999999999</v>
      </c>
      <c r="Y50" s="101">
        <v>0.108</v>
      </c>
      <c r="Z50" s="101">
        <f>Y50</f>
        <v>0.108</v>
      </c>
      <c r="AA50">
        <f>U$47*U50+V$47*V50+W$47*W50+X$47*X50+Z$47*Z50</f>
        <v>2.9530000000000003</v>
      </c>
    </row>
    <row r="52" spans="13:68">
      <c r="T52" t="s">
        <v>702</v>
      </c>
    </row>
    <row r="53" spans="13:68">
      <c r="W53">
        <v>2005</v>
      </c>
      <c r="X53">
        <v>2006</v>
      </c>
      <c r="Y53">
        <v>2007</v>
      </c>
      <c r="Z53">
        <v>2008</v>
      </c>
      <c r="AA53">
        <v>2009</v>
      </c>
      <c r="AB53">
        <v>2010</v>
      </c>
      <c r="AC53">
        <v>2011</v>
      </c>
      <c r="AD53">
        <v>2012</v>
      </c>
      <c r="AE53">
        <v>2013</v>
      </c>
      <c r="AF53">
        <v>2014</v>
      </c>
      <c r="AG53">
        <v>2015</v>
      </c>
      <c r="AH53">
        <v>2016</v>
      </c>
      <c r="AI53">
        <v>2017</v>
      </c>
      <c r="AJ53">
        <v>2018</v>
      </c>
      <c r="AK53">
        <v>2019</v>
      </c>
      <c r="AL53">
        <v>2020</v>
      </c>
      <c r="AM53">
        <v>2021</v>
      </c>
      <c r="AN53">
        <v>2022</v>
      </c>
      <c r="AO53">
        <v>2023</v>
      </c>
      <c r="AP53">
        <v>2024</v>
      </c>
      <c r="AQ53">
        <v>2025</v>
      </c>
      <c r="AR53">
        <v>2026</v>
      </c>
      <c r="AS53">
        <v>2027</v>
      </c>
      <c r="AT53">
        <v>2028</v>
      </c>
      <c r="AU53">
        <v>2029</v>
      </c>
      <c r="AV53">
        <v>2030</v>
      </c>
      <c r="AW53">
        <v>2031</v>
      </c>
      <c r="AX53">
        <v>2032</v>
      </c>
      <c r="AY53">
        <v>2033</v>
      </c>
      <c r="AZ53">
        <v>2034</v>
      </c>
      <c r="BA53">
        <v>2035</v>
      </c>
      <c r="BB53">
        <v>2036</v>
      </c>
      <c r="BC53">
        <v>2037</v>
      </c>
      <c r="BD53">
        <v>2038</v>
      </c>
      <c r="BE53">
        <v>2039</v>
      </c>
      <c r="BF53">
        <v>2040</v>
      </c>
      <c r="BG53">
        <v>2041</v>
      </c>
      <c r="BH53">
        <v>2042</v>
      </c>
      <c r="BI53">
        <v>2043</v>
      </c>
      <c r="BJ53">
        <v>2044</v>
      </c>
      <c r="BK53">
        <v>2045</v>
      </c>
      <c r="BL53">
        <v>2046</v>
      </c>
      <c r="BM53">
        <v>2047</v>
      </c>
      <c r="BN53">
        <v>2048</v>
      </c>
      <c r="BO53">
        <v>2049</v>
      </c>
      <c r="BP53">
        <v>2050</v>
      </c>
    </row>
    <row r="54" spans="13:68">
      <c r="W54">
        <f t="shared" ref="W54:BP54" si="11">TREND($AA$48:$AA$50,$T$48:$T$50,W53)</f>
        <v>3.1823114754098398</v>
      </c>
      <c r="X54">
        <f t="shared" si="11"/>
        <v>3.1695081967213135</v>
      </c>
      <c r="Y54">
        <f t="shared" si="11"/>
        <v>3.1567049180327906</v>
      </c>
      <c r="Z54">
        <f t="shared" si="11"/>
        <v>3.1439016393442643</v>
      </c>
      <c r="AA54">
        <f t="shared" si="11"/>
        <v>3.1310983606557414</v>
      </c>
      <c r="AB54">
        <f t="shared" si="11"/>
        <v>3.1182950819672151</v>
      </c>
      <c r="AC54">
        <f t="shared" si="11"/>
        <v>3.1054918032786922</v>
      </c>
      <c r="AD54">
        <f t="shared" si="11"/>
        <v>3.0926885245901659</v>
      </c>
      <c r="AE54">
        <f t="shared" si="11"/>
        <v>3.079885245901643</v>
      </c>
      <c r="AF54">
        <f t="shared" si="11"/>
        <v>3.0670819672131167</v>
      </c>
      <c r="AG54">
        <f t="shared" si="11"/>
        <v>3.0542786885245938</v>
      </c>
      <c r="AH54">
        <f t="shared" si="11"/>
        <v>3.0414754098360675</v>
      </c>
      <c r="AI54">
        <f t="shared" si="11"/>
        <v>3.0286721311475446</v>
      </c>
      <c r="AJ54">
        <f t="shared" si="11"/>
        <v>3.0158688524590183</v>
      </c>
      <c r="AK54">
        <f t="shared" si="11"/>
        <v>3.0030655737704954</v>
      </c>
      <c r="AL54">
        <f t="shared" si="11"/>
        <v>2.9902622950819691</v>
      </c>
      <c r="AM54">
        <f t="shared" si="11"/>
        <v>2.9774590163934462</v>
      </c>
      <c r="AN54">
        <f t="shared" si="11"/>
        <v>2.9646557377049199</v>
      </c>
      <c r="AO54">
        <f t="shared" si="11"/>
        <v>2.951852459016397</v>
      </c>
      <c r="AP54">
        <f t="shared" si="11"/>
        <v>2.9390491803278707</v>
      </c>
      <c r="AQ54">
        <f t="shared" si="11"/>
        <v>2.9262459016393478</v>
      </c>
      <c r="AR54">
        <f t="shared" si="11"/>
        <v>2.9134426229508215</v>
      </c>
      <c r="AS54">
        <f t="shared" si="11"/>
        <v>2.9006393442622986</v>
      </c>
      <c r="AT54">
        <f t="shared" si="11"/>
        <v>2.8878360655737723</v>
      </c>
      <c r="AU54">
        <f t="shared" si="11"/>
        <v>2.8750327868852494</v>
      </c>
      <c r="AV54">
        <f t="shared" si="11"/>
        <v>2.8622295081967231</v>
      </c>
      <c r="AW54">
        <f t="shared" si="11"/>
        <v>2.8494262295082002</v>
      </c>
      <c r="AX54">
        <f t="shared" si="11"/>
        <v>2.8366229508196739</v>
      </c>
      <c r="AY54">
        <f t="shared" si="11"/>
        <v>2.823819672131151</v>
      </c>
      <c r="AZ54">
        <f t="shared" si="11"/>
        <v>2.8110163934426247</v>
      </c>
      <c r="BA54">
        <f t="shared" si="11"/>
        <v>2.7982131147541018</v>
      </c>
      <c r="BB54">
        <f t="shared" si="11"/>
        <v>2.7854098360655755</v>
      </c>
      <c r="BC54">
        <f t="shared" si="11"/>
        <v>2.7726065573770526</v>
      </c>
      <c r="BD54">
        <f t="shared" si="11"/>
        <v>2.7598032786885263</v>
      </c>
      <c r="BE54">
        <f t="shared" si="11"/>
        <v>2.7470000000000034</v>
      </c>
      <c r="BF54">
        <f t="shared" si="11"/>
        <v>2.7341967213114771</v>
      </c>
      <c r="BG54">
        <f t="shared" si="11"/>
        <v>2.7213934426229542</v>
      </c>
      <c r="BH54">
        <f t="shared" si="11"/>
        <v>2.7085901639344279</v>
      </c>
      <c r="BI54">
        <f t="shared" si="11"/>
        <v>2.695786885245905</v>
      </c>
      <c r="BJ54">
        <f t="shared" si="11"/>
        <v>2.6829836065573787</v>
      </c>
      <c r="BK54">
        <f t="shared" si="11"/>
        <v>2.6701803278688558</v>
      </c>
      <c r="BL54">
        <f t="shared" si="11"/>
        <v>2.6573770491803295</v>
      </c>
      <c r="BM54">
        <f t="shared" si="11"/>
        <v>2.6445737704918066</v>
      </c>
      <c r="BN54">
        <f t="shared" si="11"/>
        <v>2.6317704918032803</v>
      </c>
      <c r="BO54">
        <f t="shared" si="11"/>
        <v>2.6189672131147539</v>
      </c>
      <c r="BP54">
        <f t="shared" si="11"/>
        <v>2.6061639344262311</v>
      </c>
    </row>
    <row r="56" spans="13:68" s="98" customFormat="1"/>
    <row r="59" spans="13:68">
      <c r="M59" t="s">
        <v>703</v>
      </c>
    </row>
    <row r="61" spans="13:68">
      <c r="M61" t="s">
        <v>704</v>
      </c>
      <c r="N61" t="s">
        <v>705</v>
      </c>
    </row>
    <row r="62" spans="13:68">
      <c r="M62">
        <v>2003</v>
      </c>
      <c r="N62">
        <v>41.1</v>
      </c>
    </row>
    <row r="63" spans="13:68">
      <c r="M63">
        <v>2010</v>
      </c>
      <c r="N63">
        <v>46.2</v>
      </c>
    </row>
    <row r="64" spans="13:68">
      <c r="M64">
        <v>2020</v>
      </c>
      <c r="N64">
        <v>47.9</v>
      </c>
    </row>
    <row r="65" spans="12:59">
      <c r="M65">
        <v>2030</v>
      </c>
      <c r="N65">
        <v>51.6</v>
      </c>
    </row>
    <row r="72" spans="12:59">
      <c r="M72" t="s">
        <v>706</v>
      </c>
    </row>
    <row r="73" spans="12:59">
      <c r="N73">
        <v>2005</v>
      </c>
      <c r="O73">
        <v>2006</v>
      </c>
      <c r="P73">
        <v>2007</v>
      </c>
      <c r="Q73">
        <v>2008</v>
      </c>
      <c r="R73">
        <v>2009</v>
      </c>
      <c r="S73">
        <v>2010</v>
      </c>
      <c r="T73">
        <v>2011</v>
      </c>
      <c r="U73">
        <v>2012</v>
      </c>
      <c r="V73">
        <v>2013</v>
      </c>
      <c r="W73">
        <v>2014</v>
      </c>
      <c r="X73">
        <v>2015</v>
      </c>
      <c r="Y73">
        <v>2016</v>
      </c>
      <c r="Z73">
        <v>2017</v>
      </c>
      <c r="AA73">
        <v>2018</v>
      </c>
      <c r="AB73">
        <v>2019</v>
      </c>
      <c r="AC73">
        <v>2020</v>
      </c>
      <c r="AD73">
        <v>2021</v>
      </c>
      <c r="AE73">
        <v>2022</v>
      </c>
      <c r="AF73">
        <v>2023</v>
      </c>
      <c r="AG73">
        <v>2024</v>
      </c>
      <c r="AH73">
        <v>2025</v>
      </c>
      <c r="AI73">
        <v>2026</v>
      </c>
      <c r="AJ73">
        <v>2027</v>
      </c>
      <c r="AK73">
        <v>2028</v>
      </c>
      <c r="AL73">
        <v>2029</v>
      </c>
      <c r="AM73">
        <v>2030</v>
      </c>
      <c r="AN73">
        <v>2031</v>
      </c>
      <c r="AO73">
        <v>2032</v>
      </c>
      <c r="AP73">
        <v>2033</v>
      </c>
      <c r="AQ73">
        <v>2034</v>
      </c>
      <c r="AR73">
        <v>2035</v>
      </c>
      <c r="AS73">
        <v>2036</v>
      </c>
      <c r="AT73">
        <v>2037</v>
      </c>
      <c r="AU73">
        <v>2038</v>
      </c>
      <c r="AV73">
        <v>2039</v>
      </c>
      <c r="AW73">
        <v>2040</v>
      </c>
      <c r="AX73">
        <v>2041</v>
      </c>
      <c r="AY73">
        <v>2042</v>
      </c>
      <c r="AZ73">
        <v>2043</v>
      </c>
      <c r="BA73">
        <v>2044</v>
      </c>
      <c r="BB73">
        <v>2045</v>
      </c>
      <c r="BC73">
        <v>2046</v>
      </c>
      <c r="BD73">
        <v>2047</v>
      </c>
      <c r="BE73">
        <v>2048</v>
      </c>
      <c r="BF73">
        <v>2049</v>
      </c>
      <c r="BG73">
        <v>2050</v>
      </c>
    </row>
    <row r="74" spans="12:59">
      <c r="L74" t="s">
        <v>705</v>
      </c>
      <c r="M74" t="s">
        <v>707</v>
      </c>
      <c r="N74">
        <f t="shared" ref="N74:S74" si="12">TREND($N$62:$N$63,$M$62:$M$63,N73)</f>
        <v>42.557142857142935</v>
      </c>
      <c r="O74">
        <f t="shared" si="12"/>
        <v>43.285714285714448</v>
      </c>
      <c r="P74">
        <f t="shared" si="12"/>
        <v>44.014285714285734</v>
      </c>
      <c r="Q74">
        <f t="shared" si="12"/>
        <v>44.742857142857247</v>
      </c>
      <c r="R74">
        <f t="shared" si="12"/>
        <v>45.471428571428532</v>
      </c>
      <c r="S74">
        <f t="shared" si="12"/>
        <v>46.200000000000045</v>
      </c>
      <c r="T74">
        <f>TREND($N$63:$N$64,$M$63:$M$64,T73)</f>
        <v>46.370000000000005</v>
      </c>
      <c r="U74">
        <f t="shared" ref="U74:Z74" si="13">TREND($N$63:$N$64,$M$63:$M$64,U73)</f>
        <v>46.539999999999964</v>
      </c>
      <c r="V74">
        <f t="shared" si="13"/>
        <v>46.70999999999998</v>
      </c>
      <c r="W74">
        <f t="shared" si="13"/>
        <v>46.879999999999995</v>
      </c>
      <c r="X74">
        <f t="shared" si="13"/>
        <v>47.050000000000011</v>
      </c>
      <c r="Y74">
        <f t="shared" si="13"/>
        <v>47.21999999999997</v>
      </c>
      <c r="Z74">
        <f t="shared" si="13"/>
        <v>47.389999999999986</v>
      </c>
      <c r="AA74">
        <f>TREND($N$63:$N$64,$M$63:$M$64,AA73)</f>
        <v>47.56</v>
      </c>
      <c r="AB74">
        <f>TREND($N$63:$N$64,$M$63:$M$64,AB73)</f>
        <v>47.729999999999961</v>
      </c>
      <c r="AC74">
        <f>TREND($N$63:$N$64,$M$63:$M$64,AC73)</f>
        <v>47.899999999999977</v>
      </c>
      <c r="AD74">
        <f>TREND($N$64:$N$65,$M$64:$M$65,AD73)</f>
        <v>48.269999999999982</v>
      </c>
      <c r="AE74">
        <f t="shared" ref="AE74:BG74" si="14">TREND($N$64:$N$65,$M$64:$M$65,AE73)</f>
        <v>48.639999999999986</v>
      </c>
      <c r="AF74">
        <f t="shared" si="14"/>
        <v>49.009999999999991</v>
      </c>
      <c r="AG74">
        <f t="shared" si="14"/>
        <v>49.379999999999995</v>
      </c>
      <c r="AH74">
        <f t="shared" si="14"/>
        <v>49.75</v>
      </c>
      <c r="AI74">
        <f t="shared" si="14"/>
        <v>50.120000000000005</v>
      </c>
      <c r="AJ74">
        <f t="shared" si="14"/>
        <v>50.490000000000009</v>
      </c>
      <c r="AK74">
        <f t="shared" si="14"/>
        <v>50.860000000000014</v>
      </c>
      <c r="AL74">
        <f t="shared" si="14"/>
        <v>51.230000000000018</v>
      </c>
      <c r="AM74">
        <f t="shared" si="14"/>
        <v>51.600000000000023</v>
      </c>
      <c r="AN74">
        <f t="shared" si="14"/>
        <v>51.970000000000027</v>
      </c>
      <c r="AO74">
        <f t="shared" si="14"/>
        <v>52.340000000000032</v>
      </c>
      <c r="AP74">
        <f t="shared" si="14"/>
        <v>52.710000000000036</v>
      </c>
      <c r="AQ74">
        <f t="shared" si="14"/>
        <v>53.080000000000041</v>
      </c>
      <c r="AR74">
        <f t="shared" si="14"/>
        <v>53.450000000000045</v>
      </c>
      <c r="AS74">
        <f t="shared" si="14"/>
        <v>53.819999999999936</v>
      </c>
      <c r="AT74">
        <f t="shared" si="14"/>
        <v>54.189999999999941</v>
      </c>
      <c r="AU74">
        <f t="shared" si="14"/>
        <v>54.559999999999945</v>
      </c>
      <c r="AV74">
        <f t="shared" si="14"/>
        <v>54.92999999999995</v>
      </c>
      <c r="AW74">
        <f t="shared" si="14"/>
        <v>55.299999999999955</v>
      </c>
      <c r="AX74">
        <f t="shared" si="14"/>
        <v>55.669999999999959</v>
      </c>
      <c r="AY74">
        <f t="shared" si="14"/>
        <v>56.039999999999964</v>
      </c>
      <c r="AZ74">
        <f t="shared" si="14"/>
        <v>56.409999999999968</v>
      </c>
      <c r="BA74">
        <f t="shared" si="14"/>
        <v>56.779999999999973</v>
      </c>
      <c r="BB74">
        <f t="shared" si="14"/>
        <v>57.149999999999977</v>
      </c>
      <c r="BC74">
        <f t="shared" si="14"/>
        <v>57.519999999999982</v>
      </c>
      <c r="BD74">
        <f t="shared" si="14"/>
        <v>57.889999999999986</v>
      </c>
      <c r="BE74">
        <f t="shared" si="14"/>
        <v>58.259999999999991</v>
      </c>
      <c r="BF74">
        <f t="shared" si="14"/>
        <v>58.629999999999995</v>
      </c>
      <c r="BG74">
        <f t="shared" si="14"/>
        <v>59</v>
      </c>
    </row>
    <row r="87" s="98" customFormat="1"/>
    <row r="104" spans="15:18">
      <c r="O104" t="s">
        <v>708</v>
      </c>
      <c r="R104" t="s">
        <v>709</v>
      </c>
    </row>
    <row r="105" spans="15:18">
      <c r="O105" t="s">
        <v>710</v>
      </c>
      <c r="R105">
        <v>43.5</v>
      </c>
    </row>
    <row r="106" spans="15:18">
      <c r="O106" t="s">
        <v>711</v>
      </c>
      <c r="R106">
        <v>15</v>
      </c>
    </row>
    <row r="107" spans="15:18">
      <c r="O107" t="s">
        <v>712</v>
      </c>
      <c r="R107">
        <f>FloorAreaPer!H167</f>
        <v>15</v>
      </c>
    </row>
  </sheetData>
  <mergeCells count="1">
    <mergeCell ref="A1:R1"/>
  </mergeCells>
  <phoneticPr fontId="3" type="noConversion"/>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4" tint="0.79998168889431442"/>
  </sheetPr>
  <dimension ref="A1:AP85"/>
  <sheetViews>
    <sheetView showGridLines="0" zoomScaleNormal="100" zoomScaleSheetLayoutView="100" workbookViewId="0">
      <pane xSplit="1" ySplit="1" topLeftCell="B2" activePane="bottomRight" state="frozen"/>
      <selection pane="topRight" activeCell="B6" sqref="B6"/>
      <selection pane="bottomLeft" activeCell="B6" sqref="B6"/>
      <selection pane="bottomRight" activeCell="E78" sqref="E78"/>
    </sheetView>
  </sheetViews>
  <sheetFormatPr defaultColWidth="9.26953125" defaultRowHeight="14.5" outlineLevelRow="1" outlineLevelCol="1"/>
  <cols>
    <col min="1" max="1" width="20.453125" style="216" customWidth="1"/>
    <col min="2" max="2" width="12.26953125" style="215" customWidth="1"/>
    <col min="3" max="3" width="19.453125" style="215" customWidth="1"/>
    <col min="4" max="4" width="12.453125" style="215" customWidth="1"/>
    <col min="5" max="5" width="12.26953125" style="215" customWidth="1"/>
    <col min="6" max="6" width="12" style="215" customWidth="1"/>
    <col min="7" max="7" width="16.26953125" style="216" customWidth="1"/>
    <col min="8" max="8" width="16.7265625" style="216" customWidth="1"/>
    <col min="9" max="9" width="17.26953125" style="216" customWidth="1"/>
    <col min="10" max="10" width="13.7265625" style="216" customWidth="1"/>
    <col min="11" max="11" width="10.453125" style="216" customWidth="1"/>
    <col min="12" max="12" width="11.453125" style="216" customWidth="1"/>
    <col min="13" max="14" width="10.453125" style="216" customWidth="1"/>
    <col min="15" max="15" width="12.453125" style="216" customWidth="1"/>
    <col min="16" max="16" width="9.453125" style="216" customWidth="1"/>
    <col min="17" max="17" width="9.7265625" style="216" customWidth="1"/>
    <col min="18" max="18" width="15.7265625" style="216" customWidth="1"/>
    <col min="19" max="19" width="9.453125" style="216" customWidth="1"/>
    <col min="20" max="20" width="14.453125" style="216" customWidth="1" outlineLevel="1"/>
    <col min="21" max="21" width="12.7265625" style="216" customWidth="1" outlineLevel="1"/>
    <col min="22" max="24" width="12.7265625" style="216" customWidth="1"/>
    <col min="25" max="25" width="28.453125" style="216" customWidth="1"/>
    <col min="26" max="26" width="12.26953125" style="215" bestFit="1" customWidth="1"/>
    <col min="27" max="27" width="12.453125" style="215" bestFit="1" customWidth="1"/>
    <col min="28" max="28" width="17.453125" style="215" bestFit="1" customWidth="1"/>
    <col min="29" max="29" width="11.453125" style="215" customWidth="1"/>
    <col min="30" max="30" width="14.7265625" style="215" bestFit="1" customWidth="1"/>
    <col min="31" max="33" width="13.453125" style="215" customWidth="1"/>
    <col min="34" max="35" width="12.453125" style="215" bestFit="1" customWidth="1"/>
    <col min="36" max="36" width="9.26953125" style="215" bestFit="1" customWidth="1"/>
    <col min="37" max="37" width="10.453125" style="215" bestFit="1" customWidth="1"/>
    <col min="38" max="38" width="9.7265625" style="215" customWidth="1"/>
    <col min="39" max="39" width="10.26953125" style="215" bestFit="1" customWidth="1"/>
    <col min="40" max="40" width="20.453125" style="215" customWidth="1"/>
    <col min="41" max="16384" width="9.26953125" style="216"/>
  </cols>
  <sheetData>
    <row r="1" spans="1:40" ht="31.5" customHeight="1">
      <c r="A1" s="214" t="s">
        <v>713</v>
      </c>
      <c r="B1" s="214"/>
      <c r="D1" s="216"/>
      <c r="E1" s="217" t="s">
        <v>714</v>
      </c>
      <c r="F1" s="218">
        <f>+[2]FRAMEWORK!$B$2</f>
        <v>43599</v>
      </c>
      <c r="G1" s="217" t="s">
        <v>715</v>
      </c>
      <c r="H1" s="218" t="str">
        <f>+[2]FRAMEWORK!$D$2</f>
        <v>Core higher population</v>
      </c>
      <c r="I1" s="219"/>
      <c r="J1" s="220" t="s">
        <v>716</v>
      </c>
      <c r="K1" s="221" t="s">
        <v>717</v>
      </c>
      <c r="L1" s="222" t="s">
        <v>718</v>
      </c>
      <c r="M1" s="223" t="s">
        <v>719</v>
      </c>
      <c r="N1" s="224" t="s">
        <v>720</v>
      </c>
      <c r="T1" s="214"/>
      <c r="U1" s="215"/>
      <c r="V1" s="225"/>
      <c r="X1" s="226" t="s">
        <v>721</v>
      </c>
      <c r="Y1" s="214" t="s">
        <v>713</v>
      </c>
      <c r="Z1" s="216"/>
      <c r="AA1" s="216"/>
      <c r="AB1" s="217" t="s">
        <v>714</v>
      </c>
      <c r="AC1" s="218">
        <f>+[2]FRAMEWORK!$B$2</f>
        <v>43599</v>
      </c>
      <c r="AD1" s="217" t="s">
        <v>715</v>
      </c>
      <c r="AE1" s="218" t="str">
        <f>+[2]FRAMEWORK!$D$2</f>
        <v>Core higher population</v>
      </c>
      <c r="AF1" s="227"/>
      <c r="AG1" s="228" t="s">
        <v>716</v>
      </c>
      <c r="AH1" s="229" t="s">
        <v>722</v>
      </c>
      <c r="AI1" s="230" t="s">
        <v>723</v>
      </c>
      <c r="AJ1" s="231"/>
      <c r="AN1" s="232" t="s">
        <v>724</v>
      </c>
    </row>
    <row r="2" spans="1:40" s="233" customFormat="1" ht="18.75" customHeight="1">
      <c r="A2" s="632" t="s">
        <v>725</v>
      </c>
      <c r="B2" s="634" t="s">
        <v>726</v>
      </c>
      <c r="C2" s="636" t="s">
        <v>727</v>
      </c>
      <c r="D2" s="638" t="s">
        <v>728</v>
      </c>
      <c r="E2" s="639"/>
      <c r="F2" s="639"/>
      <c r="G2" s="639"/>
      <c r="H2" s="639"/>
      <c r="I2" s="639"/>
      <c r="J2" s="640"/>
      <c r="K2" s="640"/>
      <c r="L2" s="641"/>
      <c r="M2" s="635" t="s">
        <v>729</v>
      </c>
      <c r="N2" s="640"/>
      <c r="O2" s="639"/>
      <c r="P2" s="639"/>
      <c r="Q2" s="642"/>
      <c r="R2" s="643" t="s">
        <v>730</v>
      </c>
      <c r="U2" s="234"/>
      <c r="V2" s="235" t="s">
        <v>731</v>
      </c>
      <c r="W2" s="215"/>
      <c r="X2" s="215"/>
      <c r="Y2" s="215"/>
      <c r="Z2" s="236"/>
      <c r="AA2" s="236"/>
      <c r="AB2" s="236"/>
      <c r="AC2" s="236"/>
      <c r="AD2" s="236"/>
      <c r="AE2" s="236"/>
      <c r="AF2" s="236"/>
      <c r="AG2" s="236"/>
      <c r="AH2" s="236"/>
      <c r="AI2" s="236"/>
      <c r="AJ2" s="236"/>
      <c r="AK2" s="236"/>
      <c r="AL2" s="236"/>
      <c r="AM2" s="236"/>
      <c r="AN2" s="236"/>
    </row>
    <row r="3" spans="1:40" customFormat="1" ht="45" customHeight="1">
      <c r="A3" s="633"/>
      <c r="B3" s="635"/>
      <c r="C3" s="637"/>
      <c r="D3" s="237" t="s">
        <v>732</v>
      </c>
      <c r="E3" s="237" t="s">
        <v>733</v>
      </c>
      <c r="F3" s="237" t="s">
        <v>734</v>
      </c>
      <c r="G3" s="237" t="s">
        <v>735</v>
      </c>
      <c r="H3" s="237" t="s">
        <v>736</v>
      </c>
      <c r="I3" s="237" t="s">
        <v>737</v>
      </c>
      <c r="J3" s="237" t="s">
        <v>738</v>
      </c>
      <c r="K3" s="237" t="s">
        <v>739</v>
      </c>
      <c r="L3" s="237" t="s">
        <v>740</v>
      </c>
      <c r="M3" s="237" t="s">
        <v>741</v>
      </c>
      <c r="N3" s="237" t="s">
        <v>733</v>
      </c>
      <c r="O3" s="237" t="s">
        <v>541</v>
      </c>
      <c r="P3" s="237" t="s">
        <v>739</v>
      </c>
      <c r="Q3" s="237" t="s">
        <v>742</v>
      </c>
      <c r="R3" s="644"/>
      <c r="S3" s="216"/>
      <c r="T3" s="216"/>
      <c r="U3" s="238"/>
      <c r="V3" s="216"/>
      <c r="W3" s="619" t="s">
        <v>743</v>
      </c>
      <c r="X3" s="620"/>
      <c r="Y3" s="233"/>
      <c r="Z3" s="215"/>
      <c r="AA3" s="215"/>
      <c r="AB3" s="215"/>
      <c r="AC3" s="215"/>
      <c r="AD3" s="215"/>
      <c r="AE3" s="215"/>
      <c r="AF3" s="215"/>
      <c r="AG3" s="215"/>
      <c r="AH3" s="215"/>
      <c r="AI3" s="215"/>
      <c r="AJ3" s="215"/>
      <c r="AK3" s="215"/>
      <c r="AL3" s="215"/>
      <c r="AM3" s="215"/>
      <c r="AN3" s="215"/>
    </row>
    <row r="4" spans="1:40" ht="15" customHeight="1">
      <c r="A4" s="239" t="s">
        <v>744</v>
      </c>
      <c r="B4" s="240"/>
      <c r="C4" s="241"/>
      <c r="D4" s="241"/>
      <c r="E4" s="241"/>
      <c r="F4" s="241"/>
      <c r="G4" s="241"/>
      <c r="H4" s="241"/>
      <c r="I4" s="241"/>
      <c r="J4" s="241"/>
      <c r="K4" s="241"/>
      <c r="L4" s="241"/>
      <c r="M4" s="241"/>
      <c r="N4" s="241"/>
      <c r="O4" s="241"/>
      <c r="P4" s="241"/>
      <c r="Q4" s="241"/>
      <c r="R4" s="242"/>
      <c r="U4" s="243"/>
      <c r="W4" s="244">
        <v>2016</v>
      </c>
      <c r="X4" s="245">
        <v>2050</v>
      </c>
      <c r="Y4" s="215"/>
    </row>
    <row r="5" spans="1:40">
      <c r="A5" s="246" t="s">
        <v>745</v>
      </c>
      <c r="B5" s="247">
        <f>'[2]Key parameters rpt'!O25</f>
        <v>0.4</v>
      </c>
      <c r="C5" s="248">
        <f>'[2]Key parameters rpt'!O27</f>
        <v>2174901.2425941145</v>
      </c>
      <c r="D5" s="249"/>
      <c r="E5" s="250">
        <f>'[2]Key parameters rpt'!O36</f>
        <v>0.55000000000000004</v>
      </c>
      <c r="F5" s="250">
        <f>'[2]Key parameters rpt'!$O$33</f>
        <v>0.1</v>
      </c>
      <c r="G5" s="251"/>
      <c r="H5" s="250">
        <f>'[2]Key parameters rpt'!$O$34</f>
        <v>0.5</v>
      </c>
      <c r="I5" s="250">
        <f>'[2]Key parameters rpt'!$O$35</f>
        <v>0.35</v>
      </c>
      <c r="J5" s="250">
        <f>'[2]Key parameters rpt'!$O$37</f>
        <v>0.08</v>
      </c>
      <c r="K5" s="252">
        <f>AVERAGE(E5:J5)</f>
        <v>0.316</v>
      </c>
      <c r="L5" s="253"/>
      <c r="M5" s="253"/>
      <c r="N5" s="254">
        <f>'[2]Key parameters rpt'!$O$36</f>
        <v>0.55000000000000004</v>
      </c>
      <c r="O5" s="254">
        <f>'[2]Key parameters rpt'!O34</f>
        <v>0.5</v>
      </c>
      <c r="P5" s="252">
        <f>AVERAGE(N5:O5)</f>
        <v>0.52500000000000002</v>
      </c>
      <c r="Q5" s="253"/>
      <c r="R5" s="255">
        <f>'[2]Key parameters rpt'!$O$41</f>
        <v>0</v>
      </c>
      <c r="U5" s="243"/>
      <c r="V5" s="256" t="s">
        <v>744</v>
      </c>
      <c r="W5" s="257" t="e">
        <f>Y30</f>
        <v>#VALUE!</v>
      </c>
      <c r="X5" s="257">
        <f>Y51</f>
        <v>138.12678197719634</v>
      </c>
      <c r="Y5" s="257"/>
    </row>
    <row r="6" spans="1:40">
      <c r="A6" s="246" t="s">
        <v>746</v>
      </c>
      <c r="B6" s="247">
        <f>'[2]Key parameters rpt'!O26</f>
        <v>0.6</v>
      </c>
      <c r="C6" s="248">
        <f>'[2]Key parameters rpt'!O28</f>
        <v>2121852.1582866181</v>
      </c>
      <c r="D6" s="253"/>
      <c r="E6" s="250">
        <f>'[2]Key parameters rpt'!O36</f>
        <v>0.55000000000000004</v>
      </c>
      <c r="F6" s="250">
        <f>'[2]Key parameters rpt'!$O$33</f>
        <v>0.1</v>
      </c>
      <c r="G6" s="251"/>
      <c r="H6" s="250">
        <f>'[2]Key parameters rpt'!$O$34</f>
        <v>0.5</v>
      </c>
      <c r="I6" s="250">
        <f>'[2]Key parameters rpt'!$O$35</f>
        <v>0.35</v>
      </c>
      <c r="J6" s="250">
        <f>'[2]Key parameters rpt'!$O$37</f>
        <v>0.08</v>
      </c>
      <c r="K6" s="252">
        <f>AVERAGE(E6:J6)</f>
        <v>0.316</v>
      </c>
      <c r="L6" s="252"/>
      <c r="M6" s="253"/>
      <c r="N6" s="254">
        <f>'[2]Key parameters rpt'!$O$36</f>
        <v>0.55000000000000004</v>
      </c>
      <c r="O6" s="254">
        <f>'[2]Key parameters rpt'!O35</f>
        <v>0.35</v>
      </c>
      <c r="P6" s="252">
        <f>AVERAGE(N6:O6)</f>
        <v>0.45</v>
      </c>
      <c r="Q6" s="253"/>
      <c r="R6" s="255">
        <f>'[2]Key parameters rpt'!$O$41</f>
        <v>0</v>
      </c>
      <c r="U6" s="243"/>
      <c r="V6" s="256" t="s">
        <v>747</v>
      </c>
      <c r="W6" s="257" t="e">
        <f>Y33</f>
        <v>#VALUE!</v>
      </c>
      <c r="X6" s="257">
        <f>Y54</f>
        <v>209.22299843245273</v>
      </c>
      <c r="Y6" s="257"/>
    </row>
    <row r="7" spans="1:40">
      <c r="A7" s="239" t="s">
        <v>747</v>
      </c>
      <c r="B7" s="258"/>
      <c r="C7" s="248">
        <f>'[2]Key parameters rpt'!O30</f>
        <v>5.9026996398998897</v>
      </c>
      <c r="D7" s="253"/>
      <c r="E7" s="250">
        <f>'[2]Key parameters rpt'!O36</f>
        <v>0.55000000000000004</v>
      </c>
      <c r="F7" s="250">
        <f>'[2]Key parameters rpt'!$O$33</f>
        <v>0.1</v>
      </c>
      <c r="G7" s="251"/>
      <c r="H7" s="250">
        <f>'[2]Key parameters rpt'!$O$34</f>
        <v>0.5</v>
      </c>
      <c r="I7" s="250">
        <f>'[2]Key parameters rpt'!$O$35</f>
        <v>0.35</v>
      </c>
      <c r="J7" s="250">
        <f>'[2]Key parameters rpt'!$O$37</f>
        <v>0.08</v>
      </c>
      <c r="K7" s="252">
        <f>AVERAGE(E7:J7)</f>
        <v>0.316</v>
      </c>
      <c r="L7" s="252"/>
      <c r="M7" s="253"/>
      <c r="N7" s="254">
        <f>'[2]Key parameters rpt'!$O$36</f>
        <v>0.55000000000000004</v>
      </c>
      <c r="O7" s="254">
        <f>'[2]Key parameters rpt'!O36</f>
        <v>0.55000000000000004</v>
      </c>
      <c r="P7" s="252">
        <f>AVERAGE(N7:O7)</f>
        <v>0.55000000000000004</v>
      </c>
      <c r="Q7" s="253"/>
      <c r="R7" s="255">
        <f>'[2]Key parameters rpt'!$O$41</f>
        <v>0</v>
      </c>
      <c r="U7" s="243"/>
      <c r="V7" s="256" t="s">
        <v>748</v>
      </c>
      <c r="W7" s="257" t="e">
        <f>Y41</f>
        <v>#VALUE!</v>
      </c>
      <c r="X7" s="257">
        <f>Y62</f>
        <v>28.11811987628359</v>
      </c>
      <c r="Y7" s="257"/>
    </row>
    <row r="8" spans="1:40" ht="15" thickBot="1">
      <c r="A8" s="259" t="s">
        <v>748</v>
      </c>
      <c r="B8" s="260"/>
      <c r="C8" s="261">
        <f>'[2]Key parameters rpt'!O31</f>
        <v>3.6728616334859097</v>
      </c>
      <c r="D8" s="262">
        <f>'[2]Key parameters rpt'!O38</f>
        <v>0.15</v>
      </c>
      <c r="E8" s="263"/>
      <c r="F8" s="264">
        <f>'[2]Key parameters rpt'!$O$33</f>
        <v>0.1</v>
      </c>
      <c r="G8" s="263"/>
      <c r="H8" s="263"/>
      <c r="I8" s="264">
        <f>'[2]Key parameters rpt'!$O$35</f>
        <v>0.35</v>
      </c>
      <c r="J8" s="263"/>
      <c r="K8" s="265">
        <f>AVERAGE(E8:J8)</f>
        <v>0.22499999999999998</v>
      </c>
      <c r="L8" s="266"/>
      <c r="M8" s="264">
        <f>'[2]Key parameters rpt'!$O$37</f>
        <v>0.08</v>
      </c>
      <c r="N8" s="263"/>
      <c r="O8" s="263"/>
      <c r="P8" s="266">
        <f>AVERAGE(M8:O8)</f>
        <v>0.08</v>
      </c>
      <c r="Q8" s="263"/>
      <c r="R8" s="267"/>
      <c r="U8" s="243"/>
      <c r="V8" s="216" t="s">
        <v>742</v>
      </c>
      <c r="W8" s="268" t="e">
        <f>SUM(W5:W7)</f>
        <v>#VALUE!</v>
      </c>
      <c r="X8" s="268">
        <f>SUM(X5:X7)</f>
        <v>375.46790028593261</v>
      </c>
      <c r="Y8" s="269"/>
    </row>
    <row r="9" spans="1:40" s="18" customFormat="1" ht="12.75" customHeight="1" thickTop="1">
      <c r="B9" s="270"/>
      <c r="C9" s="271"/>
      <c r="D9" s="272"/>
      <c r="E9" s="270"/>
      <c r="F9" s="272"/>
      <c r="H9" s="270"/>
      <c r="I9" s="272"/>
      <c r="J9" s="270"/>
      <c r="K9" s="273"/>
      <c r="L9" s="274"/>
      <c r="M9" s="275"/>
      <c r="N9" s="270"/>
      <c r="O9" s="270"/>
      <c r="P9" s="276"/>
      <c r="Q9" s="270"/>
      <c r="R9" s="272"/>
      <c r="U9" s="277"/>
      <c r="V9" s="273"/>
      <c r="W9" s="273"/>
      <c r="Z9" s="278"/>
      <c r="AA9" s="278"/>
      <c r="AB9" s="278"/>
      <c r="AC9" s="278"/>
      <c r="AD9" s="278"/>
      <c r="AE9" s="278"/>
      <c r="AF9" s="278"/>
      <c r="AG9" s="278"/>
      <c r="AH9" s="278"/>
      <c r="AI9" s="278"/>
      <c r="AJ9" s="278"/>
      <c r="AK9" s="278"/>
      <c r="AL9" s="278"/>
      <c r="AM9" s="278"/>
      <c r="AN9" s="278"/>
    </row>
    <row r="10" spans="1:40" customFormat="1">
      <c r="A10" s="279" t="s">
        <v>749</v>
      </c>
      <c r="D10" s="273" t="s">
        <v>750</v>
      </c>
      <c r="E10" s="280"/>
      <c r="F10" s="281"/>
      <c r="G10" s="216" t="s">
        <v>751</v>
      </c>
      <c r="H10" s="280"/>
      <c r="I10" s="281"/>
      <c r="J10" s="280"/>
      <c r="K10" s="216"/>
      <c r="L10" s="282"/>
      <c r="M10" s="283"/>
      <c r="N10" s="280"/>
      <c r="O10" s="280"/>
      <c r="P10" s="284"/>
      <c r="Q10" s="280"/>
      <c r="R10" s="281"/>
      <c r="U10" s="238"/>
      <c r="V10" s="238"/>
      <c r="W10" s="238"/>
      <c r="X10" s="238"/>
      <c r="Y10" s="238"/>
      <c r="Z10" s="165"/>
      <c r="AA10" s="165"/>
      <c r="AB10" s="165"/>
      <c r="AC10" s="165"/>
      <c r="AD10" s="165"/>
      <c r="AE10" s="165"/>
      <c r="AF10" s="165"/>
      <c r="AG10" s="165"/>
      <c r="AH10" s="165"/>
      <c r="AI10" s="165"/>
      <c r="AJ10" s="165"/>
      <c r="AK10" s="165"/>
      <c r="AL10" s="165"/>
      <c r="AM10" s="165"/>
      <c r="AN10" s="165"/>
    </row>
    <row r="11" spans="1:40" customFormat="1">
      <c r="A11" s="216"/>
      <c r="D11" s="281"/>
      <c r="E11" s="280"/>
      <c r="F11" s="281"/>
      <c r="G11" s="281"/>
      <c r="H11" s="280"/>
      <c r="I11" s="281"/>
      <c r="J11" s="280"/>
      <c r="K11" s="285" t="s">
        <v>752</v>
      </c>
      <c r="L11" s="286"/>
      <c r="M11" s="21"/>
      <c r="N11" s="287">
        <v>2016</v>
      </c>
      <c r="O11" s="288">
        <v>2050</v>
      </c>
      <c r="P11" s="283"/>
      <c r="Q11" s="280"/>
      <c r="R11" s="281"/>
      <c r="U11" s="238"/>
      <c r="V11" s="238"/>
      <c r="W11" s="238"/>
      <c r="X11" s="238"/>
      <c r="Y11" s="238"/>
      <c r="Z11" s="165"/>
      <c r="AA11" s="165"/>
      <c r="AB11" s="165"/>
      <c r="AC11" s="165"/>
      <c r="AD11" s="165"/>
      <c r="AE11" s="165"/>
      <c r="AF11" s="165"/>
      <c r="AG11" s="165"/>
      <c r="AH11" s="165"/>
      <c r="AI11" s="165"/>
      <c r="AJ11" s="165"/>
      <c r="AK11" s="165"/>
      <c r="AL11" s="165"/>
      <c r="AM11" s="165"/>
      <c r="AN11" s="165"/>
    </row>
    <row r="12" spans="1:40" customFormat="1">
      <c r="D12" s="281"/>
      <c r="E12" s="280"/>
      <c r="F12" s="281"/>
      <c r="G12" s="281"/>
      <c r="H12" s="280"/>
      <c r="I12" s="281"/>
      <c r="J12" s="280"/>
      <c r="K12" s="289" t="s">
        <v>753</v>
      </c>
      <c r="L12" s="243" t="s">
        <v>754</v>
      </c>
      <c r="N12" s="290" t="s">
        <v>755</v>
      </c>
      <c r="O12" s="291">
        <f>[2]Electricity!$K$6</f>
        <v>8.765039029278613E-3</v>
      </c>
      <c r="P12" s="283"/>
      <c r="Q12" s="280"/>
      <c r="R12" s="281"/>
      <c r="U12" s="238"/>
      <c r="V12" s="238"/>
      <c r="W12" s="238"/>
      <c r="X12" s="238"/>
      <c r="Y12" s="238"/>
      <c r="Z12" s="165"/>
      <c r="AA12" s="165"/>
      <c r="AB12" s="165"/>
      <c r="AC12" s="165"/>
      <c r="AD12" s="165"/>
      <c r="AE12" s="165"/>
      <c r="AF12" s="165"/>
      <c r="AG12" s="165"/>
      <c r="AH12" s="165"/>
      <c r="AI12" s="165"/>
      <c r="AJ12" s="165"/>
      <c r="AK12" s="165"/>
      <c r="AL12" s="165"/>
      <c r="AM12" s="165"/>
      <c r="AN12" s="165"/>
    </row>
    <row r="13" spans="1:40" customFormat="1">
      <c r="D13" s="281"/>
      <c r="E13" s="280"/>
      <c r="F13" s="281"/>
      <c r="G13" s="281"/>
      <c r="H13" s="280"/>
      <c r="I13" s="281"/>
      <c r="J13" s="280"/>
      <c r="K13" s="289" t="s">
        <v>756</v>
      </c>
      <c r="L13" s="243" t="s">
        <v>757</v>
      </c>
      <c r="N13" s="292">
        <v>65437.5</v>
      </c>
      <c r="O13" s="293">
        <v>65437.5</v>
      </c>
      <c r="P13" s="283"/>
      <c r="Q13" s="280"/>
      <c r="R13" s="281"/>
      <c r="U13" s="238"/>
      <c r="V13" s="238"/>
      <c r="W13" s="238"/>
      <c r="X13" s="238"/>
      <c r="Y13" s="238"/>
      <c r="Z13" s="165"/>
      <c r="AA13" s="165"/>
      <c r="AB13" s="165"/>
      <c r="AC13" s="165"/>
      <c r="AD13" s="165"/>
      <c r="AE13" s="165"/>
      <c r="AF13" s="165"/>
      <c r="AG13" s="165"/>
      <c r="AH13" s="165"/>
      <c r="AI13" s="165"/>
      <c r="AJ13" s="165"/>
      <c r="AK13" s="165"/>
      <c r="AL13" s="165"/>
      <c r="AM13" s="165"/>
      <c r="AN13" s="165"/>
    </row>
    <row r="14" spans="1:40" customFormat="1">
      <c r="A14" s="216"/>
      <c r="D14" s="281"/>
      <c r="E14" s="280"/>
      <c r="F14" s="281"/>
      <c r="G14" s="281"/>
      <c r="H14" s="280"/>
      <c r="I14" s="281"/>
      <c r="J14" s="280"/>
      <c r="K14" s="23"/>
      <c r="M14" s="283"/>
      <c r="N14" s="280"/>
      <c r="O14" s="294"/>
      <c r="P14" s="283"/>
      <c r="Q14" s="280"/>
      <c r="R14" s="281"/>
      <c r="U14" s="238"/>
      <c r="V14" s="238"/>
      <c r="W14" s="238"/>
      <c r="X14" s="238"/>
      <c r="Y14" s="238"/>
      <c r="Z14" s="165"/>
      <c r="AA14" s="165"/>
      <c r="AB14" s="165"/>
      <c r="AC14" s="165"/>
      <c r="AD14" s="165"/>
      <c r="AE14" s="165"/>
      <c r="AF14" s="165"/>
      <c r="AG14" s="165"/>
      <c r="AH14" s="165"/>
      <c r="AI14" s="165"/>
      <c r="AJ14" s="165"/>
      <c r="AK14" s="165"/>
      <c r="AL14" s="165"/>
      <c r="AM14" s="165"/>
      <c r="AN14" s="165"/>
    </row>
    <row r="15" spans="1:40" customFormat="1">
      <c r="A15" s="216"/>
      <c r="D15" s="281"/>
      <c r="E15" s="280"/>
      <c r="F15" s="281"/>
      <c r="G15" s="281"/>
      <c r="H15" s="280"/>
      <c r="I15" s="281"/>
      <c r="J15" s="280"/>
      <c r="K15" s="295" t="s">
        <v>758</v>
      </c>
      <c r="L15" s="281"/>
      <c r="M15" s="283"/>
      <c r="N15" s="280"/>
      <c r="O15" s="294"/>
      <c r="P15" s="283"/>
      <c r="Q15" s="280"/>
      <c r="R15" s="281"/>
      <c r="U15" s="238"/>
      <c r="V15" s="238"/>
      <c r="W15" s="238"/>
      <c r="X15" s="238"/>
      <c r="Y15" s="238"/>
      <c r="Z15" s="165"/>
      <c r="AA15" s="165"/>
      <c r="AB15" s="165"/>
      <c r="AC15" s="165"/>
      <c r="AD15" s="165"/>
      <c r="AE15" s="165"/>
      <c r="AF15" s="165"/>
      <c r="AG15" s="165"/>
      <c r="AH15" s="165"/>
      <c r="AI15" s="165"/>
      <c r="AJ15" s="165"/>
      <c r="AK15" s="165"/>
      <c r="AL15" s="165"/>
      <c r="AM15" s="165"/>
      <c r="AN15" s="165"/>
    </row>
    <row r="16" spans="1:40" customFormat="1">
      <c r="A16" s="216"/>
      <c r="D16" s="281"/>
      <c r="E16" s="280"/>
      <c r="F16" s="281"/>
      <c r="G16" s="281"/>
      <c r="H16" s="280"/>
      <c r="I16" s="281"/>
      <c r="J16" s="280"/>
      <c r="K16" s="296" t="s">
        <v>759</v>
      </c>
      <c r="L16" s="297"/>
      <c r="M16" s="298"/>
      <c r="N16" s="299"/>
      <c r="O16" s="300"/>
      <c r="P16" s="283"/>
      <c r="Q16" s="280"/>
      <c r="R16" s="281"/>
      <c r="U16" s="238"/>
      <c r="V16" s="238"/>
      <c r="W16" s="238"/>
      <c r="X16" s="238"/>
      <c r="Y16" s="238"/>
      <c r="Z16" s="165"/>
      <c r="AA16" s="165"/>
      <c r="AB16" s="165"/>
      <c r="AC16" s="165"/>
      <c r="AD16" s="165"/>
      <c r="AE16" s="165"/>
      <c r="AF16" s="165"/>
      <c r="AG16" s="165"/>
      <c r="AH16" s="165"/>
      <c r="AI16" s="165"/>
      <c r="AJ16" s="165"/>
      <c r="AK16" s="165"/>
      <c r="AL16" s="165"/>
      <c r="AM16" s="165"/>
      <c r="AN16" s="165"/>
    </row>
    <row r="17" spans="1:42" customFormat="1">
      <c r="A17" s="216"/>
      <c r="D17" s="281"/>
      <c r="E17" s="280"/>
      <c r="F17" s="281"/>
      <c r="G17" s="281"/>
      <c r="H17" s="280"/>
      <c r="I17" s="281"/>
      <c r="J17" s="280"/>
      <c r="K17" s="283"/>
      <c r="M17" s="283"/>
      <c r="N17" s="280"/>
      <c r="O17" s="280"/>
      <c r="P17" s="283"/>
      <c r="Q17" s="280"/>
      <c r="R17" s="281"/>
      <c r="U17" s="238"/>
      <c r="V17" s="238"/>
      <c r="W17" s="238"/>
      <c r="X17" s="238"/>
      <c r="Y17" s="238"/>
      <c r="Z17" s="165"/>
      <c r="AA17" s="165"/>
      <c r="AB17" s="165"/>
      <c r="AC17" s="165"/>
      <c r="AD17" s="165"/>
      <c r="AE17" s="165"/>
      <c r="AF17" s="165"/>
      <c r="AG17" s="165"/>
      <c r="AH17" s="165"/>
      <c r="AI17" s="165"/>
      <c r="AJ17" s="165"/>
      <c r="AK17" s="165"/>
      <c r="AL17" s="165"/>
      <c r="AM17" s="165"/>
      <c r="AN17" s="165"/>
    </row>
    <row r="18" spans="1:42" customFormat="1">
      <c r="A18" s="277"/>
      <c r="B18" s="280"/>
      <c r="C18" s="301"/>
      <c r="D18" s="281"/>
      <c r="E18" s="280"/>
      <c r="F18" s="281"/>
      <c r="G18" s="281"/>
      <c r="H18" s="280"/>
      <c r="I18" s="281"/>
      <c r="J18" s="280"/>
      <c r="K18" s="283"/>
      <c r="L18" s="281"/>
      <c r="M18" s="283"/>
      <c r="N18" s="280"/>
      <c r="O18" s="280"/>
      <c r="P18" s="283"/>
      <c r="Q18" s="280"/>
      <c r="R18" s="281"/>
      <c r="U18" s="238"/>
      <c r="V18" s="238"/>
      <c r="W18" s="238"/>
      <c r="X18" s="238"/>
      <c r="Y18" s="238"/>
      <c r="Z18" s="165"/>
      <c r="AA18" s="165"/>
      <c r="AB18" s="165"/>
      <c r="AC18" s="165"/>
      <c r="AD18" s="165"/>
      <c r="AE18" s="165"/>
      <c r="AF18" s="165"/>
      <c r="AG18" s="165"/>
      <c r="AH18" s="165"/>
      <c r="AI18" s="165"/>
      <c r="AJ18" s="165"/>
      <c r="AK18" s="165"/>
      <c r="AL18" s="165"/>
      <c r="AM18" s="165"/>
      <c r="AN18" s="165"/>
    </row>
    <row r="19" spans="1:42" customFormat="1">
      <c r="A19" s="277"/>
      <c r="B19" s="280"/>
      <c r="C19" s="301"/>
      <c r="D19" s="281"/>
      <c r="E19" s="280"/>
      <c r="F19" s="281"/>
      <c r="G19" s="281"/>
      <c r="H19" s="280"/>
      <c r="I19" s="281"/>
      <c r="J19" s="280"/>
      <c r="K19" s="283"/>
      <c r="L19" s="281"/>
      <c r="M19" s="283"/>
      <c r="N19" s="280"/>
      <c r="O19" s="280"/>
      <c r="P19" s="283"/>
      <c r="Q19" s="280"/>
      <c r="R19" s="281"/>
      <c r="U19" s="238"/>
      <c r="V19" s="238"/>
      <c r="W19" s="238"/>
      <c r="X19" s="238"/>
      <c r="Y19" s="238"/>
      <c r="Z19" s="285" t="s">
        <v>760</v>
      </c>
      <c r="AA19" s="302"/>
      <c r="AB19" s="21"/>
      <c r="AC19" s="302"/>
      <c r="AD19" s="302"/>
      <c r="AE19" s="302"/>
      <c r="AF19" s="303"/>
      <c r="AG19" s="304"/>
      <c r="AH19" s="304"/>
      <c r="AI19" s="165"/>
      <c r="AJ19" s="165"/>
      <c r="AK19" s="165"/>
      <c r="AL19" s="165"/>
      <c r="AM19" s="165"/>
      <c r="AN19" s="165"/>
    </row>
    <row r="20" spans="1:42" customFormat="1">
      <c r="A20" s="277"/>
      <c r="B20" s="280"/>
      <c r="C20" s="301"/>
      <c r="D20" s="281"/>
      <c r="E20" s="280"/>
      <c r="F20" s="281"/>
      <c r="G20" s="281"/>
      <c r="H20" s="280"/>
      <c r="I20" s="281"/>
      <c r="J20" s="280"/>
      <c r="K20" s="283"/>
      <c r="L20" s="281"/>
      <c r="M20" s="283"/>
      <c r="N20" s="280"/>
      <c r="O20" s="280"/>
      <c r="P20" s="283"/>
      <c r="Q20" s="280"/>
      <c r="R20" s="281"/>
      <c r="U20" s="238"/>
      <c r="V20" s="238"/>
      <c r="W20" s="238"/>
      <c r="X20" s="238"/>
      <c r="Y20" s="238"/>
      <c r="Z20" s="23" t="s">
        <v>761</v>
      </c>
      <c r="AA20" s="165"/>
      <c r="AC20" s="165"/>
      <c r="AD20" s="165"/>
      <c r="AE20" s="165"/>
      <c r="AF20" s="305"/>
      <c r="AG20" s="306"/>
      <c r="AH20" s="306"/>
      <c r="AI20" s="165"/>
      <c r="AJ20" s="165"/>
      <c r="AK20" s="165"/>
      <c r="AL20" s="165"/>
      <c r="AM20" s="165"/>
      <c r="AN20" s="165"/>
    </row>
    <row r="21" spans="1:42" customFormat="1">
      <c r="A21" s="277"/>
      <c r="B21" s="280"/>
      <c r="C21" s="301"/>
      <c r="D21" s="281"/>
      <c r="E21" s="280"/>
      <c r="F21" s="281"/>
      <c r="G21" s="281"/>
      <c r="H21" s="280"/>
      <c r="I21" s="281"/>
      <c r="J21" s="280"/>
      <c r="K21" s="283"/>
      <c r="L21" s="281"/>
      <c r="M21" s="283"/>
      <c r="N21" s="280"/>
      <c r="O21" s="280"/>
      <c r="P21" s="283"/>
      <c r="Q21" s="280"/>
      <c r="R21" s="281"/>
      <c r="U21" s="238"/>
      <c r="V21" s="238"/>
      <c r="W21" s="238"/>
      <c r="X21" s="238"/>
      <c r="Y21" s="238"/>
      <c r="Z21" s="307" t="s">
        <v>762</v>
      </c>
      <c r="AA21" s="165"/>
      <c r="AF21" s="305"/>
      <c r="AG21" s="308"/>
      <c r="AH21" s="306"/>
      <c r="AI21" s="165"/>
      <c r="AJ21" s="165"/>
      <c r="AK21" s="165"/>
      <c r="AL21" s="165"/>
      <c r="AM21" s="165"/>
      <c r="AN21" s="165"/>
    </row>
    <row r="22" spans="1:42" customFormat="1" ht="29">
      <c r="A22" s="277"/>
      <c r="B22" s="280"/>
      <c r="C22" s="301"/>
      <c r="D22" s="281"/>
      <c r="E22" s="280"/>
      <c r="F22" s="281"/>
      <c r="G22" s="281"/>
      <c r="H22" s="280"/>
      <c r="I22" s="281"/>
      <c r="J22" s="280"/>
      <c r="K22" s="283"/>
      <c r="L22" s="281"/>
      <c r="M22" s="283"/>
      <c r="N22" s="280"/>
      <c r="O22" s="280"/>
      <c r="P22" s="283"/>
      <c r="Q22" s="280"/>
      <c r="R22" s="281"/>
      <c r="U22" s="238"/>
      <c r="V22" s="238"/>
      <c r="W22" s="238"/>
      <c r="X22" s="238"/>
      <c r="Z22" s="309"/>
      <c r="AA22" s="219"/>
      <c r="AB22" s="310"/>
      <c r="AC22" s="310" t="s">
        <v>763</v>
      </c>
      <c r="AD22" s="311" t="s">
        <v>735</v>
      </c>
      <c r="AE22" s="312" t="s">
        <v>764</v>
      </c>
      <c r="AF22" s="313" t="s">
        <v>740</v>
      </c>
      <c r="AG22" s="227" t="s">
        <v>765</v>
      </c>
      <c r="AH22" s="313" t="s">
        <v>766</v>
      </c>
      <c r="AI22" s="165"/>
      <c r="AJ22" s="165"/>
      <c r="AK22" s="165"/>
      <c r="AL22" s="165"/>
      <c r="AM22" s="165"/>
      <c r="AN22" s="165"/>
    </row>
    <row r="23" spans="1:42" customFormat="1">
      <c r="A23" s="277"/>
      <c r="B23" s="280"/>
      <c r="C23" s="301"/>
      <c r="D23" s="281"/>
      <c r="E23" s="280"/>
      <c r="F23" s="281"/>
      <c r="G23" s="281"/>
      <c r="H23" s="280"/>
      <c r="I23" s="281"/>
      <c r="J23" s="280"/>
      <c r="K23" s="283"/>
      <c r="L23" s="281"/>
      <c r="M23" s="283"/>
      <c r="N23" s="280"/>
      <c r="O23" s="280"/>
      <c r="P23" s="283"/>
      <c r="Q23" s="280"/>
      <c r="R23" s="281"/>
      <c r="U23" s="238"/>
      <c r="V23" s="238"/>
      <c r="W23" s="238"/>
      <c r="X23" s="238"/>
      <c r="Z23" s="23" t="s">
        <v>767</v>
      </c>
      <c r="AD23" s="314">
        <v>0.35</v>
      </c>
      <c r="AE23" s="314">
        <v>0.2</v>
      </c>
      <c r="AF23" s="315"/>
      <c r="AG23" s="303"/>
      <c r="AH23" s="306"/>
      <c r="AI23" s="165"/>
      <c r="AJ23" s="165"/>
      <c r="AK23" s="165"/>
      <c r="AL23" s="165"/>
      <c r="AM23" s="165"/>
      <c r="AN23" s="165"/>
    </row>
    <row r="24" spans="1:42" customFormat="1">
      <c r="A24" s="277"/>
      <c r="B24" s="280"/>
      <c r="C24" s="301"/>
      <c r="D24" s="281"/>
      <c r="E24" s="280"/>
      <c r="F24" s="281"/>
      <c r="G24" s="281"/>
      <c r="H24" s="280"/>
      <c r="I24" s="281"/>
      <c r="J24" s="280"/>
      <c r="K24" s="283"/>
      <c r="L24" s="281"/>
      <c r="M24" s="283"/>
      <c r="N24" s="280"/>
      <c r="O24" s="280"/>
      <c r="P24" s="283"/>
      <c r="Q24" s="280"/>
      <c r="R24" s="281"/>
      <c r="U24" s="238"/>
      <c r="V24" s="238"/>
      <c r="W24" s="238"/>
      <c r="X24" s="238"/>
      <c r="Z24" s="621" t="s">
        <v>768</v>
      </c>
      <c r="AA24" s="622"/>
      <c r="AB24" s="622"/>
      <c r="AC24" s="316">
        <f>AF24-AE24-AD24</f>
        <v>48.741484970894732</v>
      </c>
      <c r="AD24" s="317">
        <f>'[2]Key parameters rpt'!O39*1000000/1000000</f>
        <v>2.21</v>
      </c>
      <c r="AE24" s="317">
        <f>($C$54-'[2]Key parameters rpt'!O39*1000000)*('[2]Key parameters rpt'!O40)/1000000</f>
        <v>2.5653413142576174</v>
      </c>
      <c r="AF24" s="318">
        <f>C54/1000000</f>
        <v>53.516826285152348</v>
      </c>
      <c r="AG24" s="319">
        <f>C54*AC54*'[2]EF-1'!$R$5/1000000000000-(SUM(H54:J54))</f>
        <v>745.54649073521432</v>
      </c>
      <c r="AH24" s="320">
        <f>AG24/3.6</f>
        <v>207.09624742644843</v>
      </c>
      <c r="AI24" s="165"/>
      <c r="AJ24" s="165"/>
      <c r="AK24" s="165"/>
      <c r="AL24" s="165"/>
      <c r="AM24" s="165"/>
      <c r="AN24" s="165"/>
    </row>
    <row r="25" spans="1:42" customFormat="1">
      <c r="A25" s="277"/>
      <c r="B25" s="280"/>
      <c r="C25" s="301"/>
      <c r="D25" s="281"/>
      <c r="E25" s="280"/>
      <c r="F25" s="281"/>
      <c r="G25" s="281"/>
      <c r="H25" s="280"/>
      <c r="I25" s="281"/>
      <c r="J25" s="280"/>
      <c r="K25" s="283"/>
      <c r="L25" s="281"/>
      <c r="M25" s="283"/>
      <c r="N25" s="280"/>
      <c r="O25" s="280"/>
      <c r="P25" s="283"/>
      <c r="Q25" s="280"/>
      <c r="R25" s="281"/>
      <c r="U25" s="238"/>
      <c r="V25" s="238"/>
      <c r="W25" s="238"/>
      <c r="X25" s="238"/>
      <c r="AI25" s="165"/>
      <c r="AJ25" s="165"/>
      <c r="AK25" s="165"/>
      <c r="AL25" s="165"/>
      <c r="AM25" s="165"/>
      <c r="AN25" s="165"/>
    </row>
    <row r="26" spans="1:42" customFormat="1">
      <c r="A26" s="277"/>
      <c r="B26" s="280"/>
      <c r="C26" s="301"/>
      <c r="D26" s="281"/>
      <c r="E26" s="280"/>
      <c r="F26" s="281"/>
      <c r="G26" s="281"/>
      <c r="H26" s="280"/>
      <c r="I26" s="281"/>
      <c r="J26" s="280"/>
      <c r="K26" s="283"/>
      <c r="L26" s="281"/>
      <c r="M26" s="283"/>
      <c r="N26" s="280"/>
      <c r="O26" s="280"/>
      <c r="P26" s="283"/>
      <c r="Q26" s="280"/>
      <c r="R26" s="281"/>
      <c r="U26" s="238"/>
      <c r="V26" s="238"/>
      <c r="W26" s="238"/>
      <c r="X26" s="238"/>
      <c r="Z26" s="165"/>
      <c r="AA26" s="165"/>
      <c r="AB26" s="165"/>
      <c r="AD26" s="165"/>
      <c r="AE26" s="165"/>
      <c r="AF26" s="165"/>
      <c r="AG26" s="165"/>
      <c r="AH26" s="165"/>
      <c r="AI26" s="165"/>
      <c r="AJ26" s="165"/>
      <c r="AK26" s="165"/>
      <c r="AL26" s="165"/>
      <c r="AM26" s="165"/>
      <c r="AN26" s="165"/>
    </row>
    <row r="27" spans="1:42" ht="15" customHeight="1">
      <c r="A27" s="623">
        <v>2016</v>
      </c>
      <c r="B27" s="626" t="s">
        <v>769</v>
      </c>
      <c r="C27" s="627"/>
      <c r="D27" s="627"/>
      <c r="E27" s="628"/>
      <c r="F27" s="321" t="s">
        <v>770</v>
      </c>
      <c r="G27" s="322"/>
      <c r="H27" s="322"/>
      <c r="I27" s="322"/>
      <c r="J27" s="322"/>
      <c r="K27" s="322"/>
      <c r="L27" s="322"/>
      <c r="M27" s="322"/>
      <c r="N27" s="322"/>
      <c r="O27" s="323"/>
      <c r="P27" s="321" t="s">
        <v>771</v>
      </c>
      <c r="Q27" s="322"/>
      <c r="R27" s="322"/>
      <c r="S27" s="322"/>
      <c r="T27" s="323"/>
      <c r="U27" s="324" t="s">
        <v>772</v>
      </c>
      <c r="V27" s="325"/>
      <c r="W27" s="321" t="s">
        <v>773</v>
      </c>
      <c r="X27" s="322"/>
      <c r="Y27" s="323"/>
      <c r="Z27" s="326">
        <v>2016</v>
      </c>
      <c r="AA27" s="327" t="s">
        <v>774</v>
      </c>
      <c r="AB27" s="328"/>
      <c r="AC27" s="328"/>
      <c r="AD27" s="328"/>
      <c r="AE27" s="329"/>
      <c r="AF27" s="328"/>
      <c r="AG27" s="328"/>
      <c r="AH27" s="328"/>
      <c r="AI27" s="328"/>
      <c r="AJ27" s="328"/>
      <c r="AK27" s="321" t="s">
        <v>775</v>
      </c>
      <c r="AL27" s="322"/>
      <c r="AM27" s="322"/>
      <c r="AN27" s="322"/>
      <c r="AO27" s="323"/>
      <c r="AP27" s="330" t="s">
        <v>776</v>
      </c>
    </row>
    <row r="28" spans="1:42" ht="58.4" customHeight="1">
      <c r="A28" s="624"/>
      <c r="B28" s="331" t="s">
        <v>777</v>
      </c>
      <c r="C28" s="332" t="s">
        <v>778</v>
      </c>
      <c r="D28" s="332" t="s">
        <v>779</v>
      </c>
      <c r="E28" s="333" t="s">
        <v>780</v>
      </c>
      <c r="F28" s="334" t="s">
        <v>732</v>
      </c>
      <c r="G28" s="334" t="s">
        <v>733</v>
      </c>
      <c r="H28" s="334" t="s">
        <v>734</v>
      </c>
      <c r="I28" s="334" t="s">
        <v>735</v>
      </c>
      <c r="J28" s="335" t="s">
        <v>764</v>
      </c>
      <c r="K28" s="334" t="s">
        <v>736</v>
      </c>
      <c r="L28" s="334" t="s">
        <v>737</v>
      </c>
      <c r="M28" s="334" t="s">
        <v>738</v>
      </c>
      <c r="N28" s="334" t="s">
        <v>739</v>
      </c>
      <c r="O28" s="336" t="s">
        <v>740</v>
      </c>
      <c r="P28" s="337" t="s">
        <v>732</v>
      </c>
      <c r="Q28" s="334" t="s">
        <v>733</v>
      </c>
      <c r="R28" s="338" t="s">
        <v>781</v>
      </c>
      <c r="S28" s="334" t="s">
        <v>739</v>
      </c>
      <c r="T28" s="336" t="s">
        <v>740</v>
      </c>
      <c r="U28" s="339" t="s">
        <v>753</v>
      </c>
      <c r="V28" s="340" t="s">
        <v>756</v>
      </c>
      <c r="W28" s="234" t="s">
        <v>753</v>
      </c>
      <c r="X28" s="234" t="s">
        <v>756</v>
      </c>
      <c r="Y28" s="340" t="s">
        <v>742</v>
      </c>
      <c r="Z28" s="341"/>
      <c r="AA28" s="342" t="s">
        <v>732</v>
      </c>
      <c r="AB28" s="343" t="s">
        <v>733</v>
      </c>
      <c r="AC28" s="343" t="s">
        <v>734</v>
      </c>
      <c r="AD28" s="343" t="s">
        <v>735</v>
      </c>
      <c r="AE28" s="335" t="s">
        <v>764</v>
      </c>
      <c r="AF28" s="343" t="s">
        <v>736</v>
      </c>
      <c r="AG28" s="343" t="s">
        <v>737</v>
      </c>
      <c r="AH28" s="343" t="s">
        <v>738</v>
      </c>
      <c r="AI28" s="343" t="s">
        <v>739</v>
      </c>
      <c r="AJ28" s="344" t="s">
        <v>740</v>
      </c>
      <c r="AK28" s="337" t="s">
        <v>732</v>
      </c>
      <c r="AL28" s="334" t="s">
        <v>733</v>
      </c>
      <c r="AM28" s="334" t="s">
        <v>541</v>
      </c>
      <c r="AN28" s="334" t="s">
        <v>739</v>
      </c>
      <c r="AO28" s="333" t="s">
        <v>742</v>
      </c>
      <c r="AP28" s="345"/>
    </row>
    <row r="29" spans="1:42" s="233" customFormat="1" ht="43.5" customHeight="1">
      <c r="A29" s="625"/>
      <c r="B29" s="346"/>
      <c r="C29" s="347" t="s">
        <v>782</v>
      </c>
      <c r="D29" s="347" t="s">
        <v>783</v>
      </c>
      <c r="E29" s="348" t="s">
        <v>782</v>
      </c>
      <c r="F29" s="349" t="s">
        <v>784</v>
      </c>
      <c r="G29" s="349" t="s">
        <v>784</v>
      </c>
      <c r="H29" s="349" t="s">
        <v>784</v>
      </c>
      <c r="I29" s="349" t="s">
        <v>784</v>
      </c>
      <c r="J29" s="349" t="s">
        <v>784</v>
      </c>
      <c r="K29" s="349" t="s">
        <v>784</v>
      </c>
      <c r="L29" s="349" t="s">
        <v>784</v>
      </c>
      <c r="M29" s="349" t="s">
        <v>784</v>
      </c>
      <c r="N29" s="349" t="s">
        <v>784</v>
      </c>
      <c r="O29" s="350" t="s">
        <v>784</v>
      </c>
      <c r="P29" s="347" t="s">
        <v>784</v>
      </c>
      <c r="Q29" s="347" t="s">
        <v>784</v>
      </c>
      <c r="R29" s="347" t="s">
        <v>784</v>
      </c>
      <c r="S29" s="347" t="s">
        <v>784</v>
      </c>
      <c r="T29" s="348" t="s">
        <v>784</v>
      </c>
      <c r="U29" s="351" t="s">
        <v>754</v>
      </c>
      <c r="V29" s="352" t="s">
        <v>757</v>
      </c>
      <c r="W29" s="353" t="s">
        <v>785</v>
      </c>
      <c r="X29" s="353" t="s">
        <v>785</v>
      </c>
      <c r="Y29" s="352" t="s">
        <v>785</v>
      </c>
      <c r="Z29" s="354"/>
      <c r="AA29" s="347" t="s">
        <v>786</v>
      </c>
      <c r="AB29" s="347" t="s">
        <v>786</v>
      </c>
      <c r="AC29" s="347" t="s">
        <v>786</v>
      </c>
      <c r="AD29" s="347" t="s">
        <v>786</v>
      </c>
      <c r="AE29" s="347" t="s">
        <v>786</v>
      </c>
      <c r="AF29" s="347" t="s">
        <v>786</v>
      </c>
      <c r="AG29" s="347" t="s">
        <v>786</v>
      </c>
      <c r="AH29" s="347" t="s">
        <v>786</v>
      </c>
      <c r="AI29" s="347" t="s">
        <v>786</v>
      </c>
      <c r="AJ29" s="347" t="s">
        <v>786</v>
      </c>
      <c r="AK29" s="347" t="s">
        <v>786</v>
      </c>
      <c r="AL29" s="347" t="s">
        <v>786</v>
      </c>
      <c r="AM29" s="347" t="s">
        <v>786</v>
      </c>
      <c r="AN29" s="347" t="s">
        <v>786</v>
      </c>
      <c r="AO29" s="347" t="s">
        <v>786</v>
      </c>
      <c r="AP29" s="355" t="s">
        <v>787</v>
      </c>
    </row>
    <row r="30" spans="1:42">
      <c r="A30" s="256" t="s">
        <v>788</v>
      </c>
      <c r="B30" s="356">
        <f>SUM(B31:B32)</f>
        <v>2384228</v>
      </c>
      <c r="C30" s="357">
        <f>SUM(C31:C32)</f>
        <v>86277952</v>
      </c>
      <c r="D30" s="357">
        <f>'[2]Population and GDP'!E6/1000</f>
        <v>7116.8</v>
      </c>
      <c r="E30" s="358">
        <f>C30/D30/1000</f>
        <v>12.123138489208634</v>
      </c>
      <c r="F30" s="359"/>
      <c r="G30" s="360">
        <f>SUM(G31:G32)</f>
        <v>3926</v>
      </c>
      <c r="H30" s="360">
        <f>SUM(H31:H32)</f>
        <v>15237</v>
      </c>
      <c r="I30" s="360"/>
      <c r="J30" s="329"/>
      <c r="K30" s="360">
        <f>SUM(K31:K32)</f>
        <v>9329</v>
      </c>
      <c r="L30" s="360">
        <f>SUM(L31:L32)</f>
        <v>3879</v>
      </c>
      <c r="M30" s="360">
        <f>SUM(M31:M32)</f>
        <v>6590</v>
      </c>
      <c r="N30" s="360">
        <f>SUM(N31:N32)</f>
        <v>4160</v>
      </c>
      <c r="O30" s="361">
        <f>SUM(O31:O32)</f>
        <v>43121</v>
      </c>
      <c r="P30" s="362"/>
      <c r="Q30" s="363">
        <f>SUM(Q31:Q32)</f>
        <v>10684</v>
      </c>
      <c r="R30" s="363">
        <f>SUM(R31:R32)</f>
        <v>7633</v>
      </c>
      <c r="S30" s="363">
        <f>SUM(S31:S32)</f>
        <v>31</v>
      </c>
      <c r="T30" s="364">
        <f>SUM(T31:T32)</f>
        <v>18348</v>
      </c>
      <c r="U30" s="365" t="str">
        <f t="shared" ref="U30:U41" si="0">+$N$12</f>
        <v xml:space="preserve">  </v>
      </c>
      <c r="V30" s="366">
        <f>+$N$13</f>
        <v>65437.5</v>
      </c>
      <c r="W30" s="363" t="e">
        <f>SUM(W31:W32)</f>
        <v>#VALUE!</v>
      </c>
      <c r="X30" s="367">
        <f>SUM(X31:X32)</f>
        <v>1200.64725</v>
      </c>
      <c r="Y30" s="368" t="e">
        <f>SUM(Y31:Y32)</f>
        <v>#VALUE!</v>
      </c>
      <c r="Z30" s="256" t="s">
        <v>788</v>
      </c>
      <c r="AA30" s="356"/>
      <c r="AB30" s="369"/>
      <c r="AC30" s="369"/>
      <c r="AD30" s="369"/>
      <c r="AE30" s="370"/>
      <c r="AF30" s="369"/>
      <c r="AG30" s="369"/>
      <c r="AH30" s="369"/>
      <c r="AI30" s="369"/>
      <c r="AJ30" s="369"/>
      <c r="AK30" s="331"/>
      <c r="AL30" s="332"/>
      <c r="AM30" s="332"/>
      <c r="AN30" s="332"/>
      <c r="AO30" s="333"/>
      <c r="AP30" s="371"/>
    </row>
    <row r="31" spans="1:42">
      <c r="A31" s="289" t="s">
        <v>789</v>
      </c>
      <c r="B31" s="372">
        <f>1174628+24000</f>
        <v>1198628</v>
      </c>
      <c r="C31" s="373">
        <f>50509004+1032000</f>
        <v>51541004</v>
      </c>
      <c r="D31" s="374">
        <v>0.54600000000000004</v>
      </c>
      <c r="E31" s="358">
        <f>C31/(D31*D30)/1000</f>
        <v>13.264029229912772</v>
      </c>
      <c r="F31" s="375"/>
      <c r="G31" s="292">
        <f>1882+311</f>
        <v>2193</v>
      </c>
      <c r="H31" s="292">
        <f>8197+1408</f>
        <v>9605</v>
      </c>
      <c r="I31" s="292"/>
      <c r="K31" s="292">
        <f>1965+2848+357+375</f>
        <v>5545</v>
      </c>
      <c r="L31" s="292">
        <f>2107+318</f>
        <v>2425</v>
      </c>
      <c r="M31" s="292">
        <f>3229+350</f>
        <v>3579</v>
      </c>
      <c r="N31" s="292">
        <f>2166+272</f>
        <v>2438</v>
      </c>
      <c r="O31" s="376">
        <f t="shared" ref="O31:O40" si="1">SUM(G31:N31)</f>
        <v>25785</v>
      </c>
      <c r="P31" s="377"/>
      <c r="Q31" s="378">
        <f>4760+515</f>
        <v>5275</v>
      </c>
      <c r="R31" s="378">
        <f>3129+172</f>
        <v>3301</v>
      </c>
      <c r="S31" s="378">
        <v>1</v>
      </c>
      <c r="T31" s="376">
        <f>SUM(Q31:S31)</f>
        <v>8577</v>
      </c>
      <c r="U31" s="365" t="str">
        <f t="shared" si="0"/>
        <v xml:space="preserve">  </v>
      </c>
      <c r="V31" s="366">
        <f t="shared" ref="V31:V41" si="2">+$N$13</f>
        <v>65437.5</v>
      </c>
      <c r="W31" s="379" t="e">
        <f>O31/3.6*1000000*U31/1000000</f>
        <v>#VALUE!</v>
      </c>
      <c r="X31" s="379">
        <f>T31*V31/1000000</f>
        <v>561.25743750000004</v>
      </c>
      <c r="Y31" s="368" t="e">
        <f>W31+X31</f>
        <v>#VALUE!</v>
      </c>
      <c r="Z31" s="289" t="s">
        <v>789</v>
      </c>
      <c r="AA31" s="356"/>
      <c r="AB31" s="369">
        <f>G31*1000000000000/'[2]EF-1'!$R$5/$B$31</f>
        <v>508.21995370262221</v>
      </c>
      <c r="AC31" s="369">
        <f>H31*1000000000000/'[2]EF-1'!$R$5/$B$31</f>
        <v>2225.9246034262133</v>
      </c>
      <c r="AD31" s="369">
        <f>I31*1000000000000/'[2]EF-1'!$R$5/$B$31</f>
        <v>0</v>
      </c>
      <c r="AE31" s="369">
        <f>J31*1000000000000/'[2]EF-1'!$R$5/$B$31</f>
        <v>0</v>
      </c>
      <c r="AF31" s="369">
        <f>K31*1000000000000/'[2]EF-1'!$R$5/$B$31</f>
        <v>1285.0340370638578</v>
      </c>
      <c r="AG31" s="369">
        <f>L31*1000000000000/'[2]EF-1'!$R$5/$B$31</f>
        <v>561.98512892332826</v>
      </c>
      <c r="AH31" s="369">
        <f>M31*1000000000000/'[2]EF-1'!$R$5/$B$31</f>
        <v>829.4205263573574</v>
      </c>
      <c r="AI31" s="369">
        <f>N31*1000000000000/'[2]EF-1'!$R$5/$B$31</f>
        <v>564.99783270724708</v>
      </c>
      <c r="AJ31" s="369">
        <f>SUM(AB31:AI31)</f>
        <v>5975.5820821806255</v>
      </c>
      <c r="AK31" s="380"/>
      <c r="AL31" s="369">
        <f>Q31*1000000000000/'[2]EF-1'!$R$5/$B$31</f>
        <v>1222.4624969363119</v>
      </c>
      <c r="AM31" s="369">
        <f>R31*1000000000000/'[2]EF-1'!$R$5/$B$31</f>
        <v>764.99501467047696</v>
      </c>
      <c r="AN31" s="369">
        <f>S31*1000000000000/'[2]EF-1'!$R$5/$B$31</f>
        <v>0.23174644491683638</v>
      </c>
      <c r="AO31" s="381">
        <f>SUM(AL31:AN31)</f>
        <v>1987.6892580517058</v>
      </c>
      <c r="AP31" s="382">
        <f>(G31+K31)/((G31+K31)+(Q31+R31))</f>
        <v>0.47431653794287115</v>
      </c>
    </row>
    <row r="32" spans="1:42">
      <c r="A32" s="289" t="s">
        <v>790</v>
      </c>
      <c r="B32" s="372">
        <f>1185.6*1000</f>
        <v>1185600</v>
      </c>
      <c r="C32" s="373">
        <v>34736948</v>
      </c>
      <c r="D32" s="374">
        <f>44.8%</f>
        <v>0.44799999999999995</v>
      </c>
      <c r="E32" s="358">
        <f>C32/(D32*D30)/1000</f>
        <v>10.895041360884507</v>
      </c>
      <c r="F32" s="375"/>
      <c r="G32" s="292">
        <v>1733</v>
      </c>
      <c r="H32" s="292">
        <v>5632</v>
      </c>
      <c r="I32" s="292"/>
      <c r="K32" s="292">
        <v>3784</v>
      </c>
      <c r="L32" s="292">
        <v>1454</v>
      </c>
      <c r="M32" s="292">
        <v>3011</v>
      </c>
      <c r="N32" s="292">
        <v>1722</v>
      </c>
      <c r="O32" s="376">
        <f t="shared" si="1"/>
        <v>17336</v>
      </c>
      <c r="P32" s="377"/>
      <c r="Q32" s="378">
        <v>5409</v>
      </c>
      <c r="R32" s="378">
        <v>4332</v>
      </c>
      <c r="S32" s="378">
        <v>30</v>
      </c>
      <c r="T32" s="376">
        <f>SUM(Q32:S32)</f>
        <v>9771</v>
      </c>
      <c r="U32" s="365" t="str">
        <f t="shared" si="0"/>
        <v xml:space="preserve">  </v>
      </c>
      <c r="V32" s="366">
        <f t="shared" si="2"/>
        <v>65437.5</v>
      </c>
      <c r="W32" s="379" t="e">
        <f>O32/3.6*1000000*U32/1000000</f>
        <v>#VALUE!</v>
      </c>
      <c r="X32" s="379">
        <f>T32*V32/1000000</f>
        <v>639.38981249999995</v>
      </c>
      <c r="Y32" s="368" t="e">
        <f>W32+X32</f>
        <v>#VALUE!</v>
      </c>
      <c r="Z32" s="289" t="s">
        <v>790</v>
      </c>
      <c r="AA32" s="356"/>
      <c r="AB32" s="369">
        <f>G32*1000000000000/'[2]EF-1'!$R$5/$B$31</f>
        <v>401.6165890408775</v>
      </c>
      <c r="AC32" s="369">
        <f>H32*1000000000000/'[2]EF-1'!$R$5/$B$31</f>
        <v>1305.1959777716227</v>
      </c>
      <c r="AD32" s="369">
        <f>I32*1000000000000/'[2]EF-1'!$R$5/$B$31</f>
        <v>0</v>
      </c>
      <c r="AE32" s="369">
        <f>J32*1000000000000/'[2]EF-1'!$R$5/$B$31</f>
        <v>0</v>
      </c>
      <c r="AF32" s="369">
        <f>K32*1000000000000/'[2]EF-1'!$R$5/$B$31</f>
        <v>876.92854756530892</v>
      </c>
      <c r="AG32" s="369">
        <f>L32*1000000000000/'[2]EF-1'!$R$5/$B$31</f>
        <v>336.95933090908011</v>
      </c>
      <c r="AH32" s="369">
        <f>M32*1000000000000/'[2]EF-1'!$R$5/$B$31</f>
        <v>697.78854564459436</v>
      </c>
      <c r="AI32" s="369">
        <f>N32*1000000000000/'[2]EF-1'!$R$5/$B$31</f>
        <v>399.06737814679224</v>
      </c>
      <c r="AJ32" s="369">
        <f>SUM(AB32:AI32)</f>
        <v>4017.5563690782756</v>
      </c>
      <c r="AK32" s="380"/>
      <c r="AL32" s="369">
        <f>Q32*1000000000000/'[2]EF-1'!$R$5/$B$31</f>
        <v>1253.516520555168</v>
      </c>
      <c r="AM32" s="369">
        <f>R32*1000000000000/'[2]EF-1'!$R$5/$B$31</f>
        <v>1003.9255993797352</v>
      </c>
      <c r="AN32" s="369">
        <f>S32*1000000000000/'[2]EF-1'!$R$5/$B$31</f>
        <v>6.9523933475050921</v>
      </c>
      <c r="AO32" s="381">
        <f t="shared" ref="AO32:AO40" si="3">SUM(AL32:AN32)</f>
        <v>2264.3945132824083</v>
      </c>
      <c r="AP32" s="382">
        <f>(G32+K32)/((G32+K32)+(Q32+R32))</f>
        <v>0.36158081006685017</v>
      </c>
    </row>
    <row r="33" spans="1:42">
      <c r="A33" s="256" t="s">
        <v>747</v>
      </c>
      <c r="B33" s="356"/>
      <c r="C33" s="383">
        <f>SUM('[2]Commerical demand'!D46:D51)</f>
        <v>47054400</v>
      </c>
      <c r="D33" s="357">
        <f>D30</f>
        <v>7116.8</v>
      </c>
      <c r="E33" s="358">
        <f>C33/D33/1000</f>
        <v>6.6117356115107917</v>
      </c>
      <c r="F33" s="384"/>
      <c r="G33" s="385">
        <f>SUM(G34:G40)</f>
        <v>4039</v>
      </c>
      <c r="H33" s="385">
        <f>SUM(H34:H40)</f>
        <v>30297</v>
      </c>
      <c r="I33" s="385">
        <f>SUM(I34:I40)</f>
        <v>0</v>
      </c>
      <c r="K33" s="385">
        <f>SUM(K34:K40)</f>
        <v>5340</v>
      </c>
      <c r="L33" s="385">
        <f>SUM(L34:L40)</f>
        <v>15095</v>
      </c>
      <c r="M33" s="385">
        <f>SUM(M34:M40)</f>
        <v>4464</v>
      </c>
      <c r="N33" s="385">
        <f>SUM(N34:N40)</f>
        <v>44646</v>
      </c>
      <c r="O33" s="364">
        <f t="shared" si="1"/>
        <v>103881</v>
      </c>
      <c r="P33" s="386"/>
      <c r="Q33" s="378">
        <f>SUM(Q34:Q40)</f>
        <v>8319</v>
      </c>
      <c r="R33" s="378">
        <f>SUM(R34:R40)</f>
        <v>6240</v>
      </c>
      <c r="S33" s="378">
        <f>SUM(S34:S40)</f>
        <v>5531</v>
      </c>
      <c r="T33" s="376">
        <f>SUM(T34:T40)</f>
        <v>20090</v>
      </c>
      <c r="U33" s="365" t="str">
        <f t="shared" si="0"/>
        <v xml:space="preserve">  </v>
      </c>
      <c r="V33" s="366">
        <f t="shared" si="2"/>
        <v>65437.5</v>
      </c>
      <c r="W33" s="363" t="e">
        <f>O33/3.6*1000000*U33/1000000</f>
        <v>#VALUE!</v>
      </c>
      <c r="X33" s="379">
        <f>T33*V33/1000000</f>
        <v>1314.639375</v>
      </c>
      <c r="Y33" s="368" t="e">
        <f>W33+X33</f>
        <v>#VALUE!</v>
      </c>
      <c r="Z33" s="256" t="s">
        <v>747</v>
      </c>
      <c r="AA33" s="387"/>
      <c r="AB33" s="388">
        <f>G33/$C$33*1000000000000*'[2]EF-1'!$R$6</f>
        <v>23.843560739153926</v>
      </c>
      <c r="AC33" s="388">
        <f>H33/$C$33*1000000000000*'[2]EF-1'!$R$6</f>
        <v>178.85327054076416</v>
      </c>
      <c r="AD33" s="388">
        <f t="shared" ref="AD33:AD41" si="4">AC33*(1-$AD$23)</f>
        <v>116.25462585149671</v>
      </c>
      <c r="AE33" s="388">
        <f t="shared" ref="AE33:AE41" si="5">AC33*(1-$AE$23)</f>
        <v>143.08261643261133</v>
      </c>
      <c r="AF33" s="388">
        <f>K33/$C$33*1000000000000*'[2]EF-1'!$R$6</f>
        <v>31.52379657021093</v>
      </c>
      <c r="AG33" s="388">
        <f>L33/$C$33*1000000000000*'[2]EF-1'!$R$6</f>
        <v>89.110806971410852</v>
      </c>
      <c r="AH33" s="388">
        <f>M33/$C$33*1000000000000*'[2]EF-1'!$R$6</f>
        <v>26.352477132850485</v>
      </c>
      <c r="AI33" s="388">
        <f>N33/$C$33*1000000000000*'[2]EF-1'!$R$6</f>
        <v>263.56019132465121</v>
      </c>
      <c r="AJ33" s="369">
        <f t="shared" ref="AJ33:AJ41" si="6">SUM(AB33:AI33)</f>
        <v>872.58134556314963</v>
      </c>
      <c r="AK33" s="389"/>
      <c r="AL33" s="390">
        <f>Q33/$C$33*1000000000000*'[2]EF-1'!$R$8</f>
        <v>4.9678365956126749</v>
      </c>
      <c r="AM33" s="390">
        <f>R33/$C$33*1000000000000*'[2]EF-1'!$R$8</f>
        <v>3.7263253223492119</v>
      </c>
      <c r="AN33" s="390">
        <f>S33/$C$33*1000000000000*'[2]EF-1'!$R$8</f>
        <v>3.3029335509476745</v>
      </c>
      <c r="AO33" s="381">
        <f t="shared" si="3"/>
        <v>11.997095468909562</v>
      </c>
      <c r="AP33" s="382">
        <f>(G33+K33)/((G33+K33)+(Q33+R33))</f>
        <v>0.3918038265519258</v>
      </c>
    </row>
    <row r="34" spans="1:42" ht="14.9" hidden="1" customHeight="1" outlineLevel="1">
      <c r="A34" s="289" t="s">
        <v>791</v>
      </c>
      <c r="B34" s="391"/>
      <c r="C34" s="383">
        <v>11838200</v>
      </c>
      <c r="D34" s="392">
        <f>$D$30</f>
        <v>7116.8</v>
      </c>
      <c r="E34" s="358">
        <f>C34/D34/1000</f>
        <v>1.6634161420863309</v>
      </c>
      <c r="F34" s="393"/>
      <c r="G34" s="292"/>
      <c r="H34" s="292">
        <v>7158</v>
      </c>
      <c r="I34" s="292"/>
      <c r="K34" s="292">
        <v>0</v>
      </c>
      <c r="L34" s="292">
        <v>1862</v>
      </c>
      <c r="M34" s="292">
        <v>1646</v>
      </c>
      <c r="N34" s="292">
        <v>2517</v>
      </c>
      <c r="O34" s="364">
        <f t="shared" si="1"/>
        <v>13183</v>
      </c>
      <c r="P34" s="377"/>
      <c r="Q34" s="394"/>
      <c r="R34" s="394">
        <v>0</v>
      </c>
      <c r="S34" s="394">
        <v>0</v>
      </c>
      <c r="T34" s="364">
        <f t="shared" ref="T34:T41" si="7">SUM(P34:S34)</f>
        <v>0</v>
      </c>
      <c r="U34" s="365" t="str">
        <f t="shared" si="0"/>
        <v xml:space="preserve">  </v>
      </c>
      <c r="V34" s="366">
        <f t="shared" si="2"/>
        <v>65437.5</v>
      </c>
      <c r="W34" s="243"/>
      <c r="X34" s="379"/>
      <c r="Y34" s="368"/>
      <c r="Z34" s="289" t="s">
        <v>791</v>
      </c>
      <c r="AA34" s="387"/>
      <c r="AB34" s="388"/>
      <c r="AC34" s="388"/>
      <c r="AD34" s="388">
        <f t="shared" si="4"/>
        <v>0</v>
      </c>
      <c r="AE34" s="388">
        <f t="shared" si="5"/>
        <v>0</v>
      </c>
      <c r="AF34" s="388"/>
      <c r="AG34" s="388"/>
      <c r="AH34" s="388"/>
      <c r="AI34" s="388"/>
      <c r="AJ34" s="369">
        <f t="shared" si="6"/>
        <v>0</v>
      </c>
      <c r="AK34" s="389"/>
      <c r="AL34" s="390"/>
      <c r="AM34" s="390"/>
      <c r="AN34" s="390"/>
      <c r="AO34" s="381">
        <f t="shared" si="3"/>
        <v>0</v>
      </c>
      <c r="AP34" s="382" t="e">
        <f t="shared" ref="AP34:AP40" si="8">(G34+K34)/((G34+K34)+(Q34+R34))</f>
        <v>#DIV/0!</v>
      </c>
    </row>
    <row r="35" spans="1:42" ht="14.9" hidden="1" customHeight="1" outlineLevel="1">
      <c r="A35" s="289" t="s">
        <v>792</v>
      </c>
      <c r="B35" s="391"/>
      <c r="C35" s="629">
        <v>11274200</v>
      </c>
      <c r="D35" s="630">
        <f>$D$30</f>
        <v>7116.8</v>
      </c>
      <c r="E35" s="631">
        <f>C35/D34/1000</f>
        <v>1.5841670413669064</v>
      </c>
      <c r="F35" s="393"/>
      <c r="G35" s="292">
        <v>4039</v>
      </c>
      <c r="H35" s="292">
        <v>5402</v>
      </c>
      <c r="I35" s="292"/>
      <c r="K35" s="292">
        <v>1595</v>
      </c>
      <c r="L35" s="292">
        <v>819</v>
      </c>
      <c r="M35" s="292"/>
      <c r="N35" s="292">
        <v>474</v>
      </c>
      <c r="O35" s="364">
        <f t="shared" si="1"/>
        <v>12329</v>
      </c>
      <c r="P35" s="377"/>
      <c r="Q35" s="394">
        <v>8319</v>
      </c>
      <c r="R35" s="394">
        <v>459</v>
      </c>
      <c r="S35" s="394">
        <v>56</v>
      </c>
      <c r="T35" s="364">
        <f t="shared" si="7"/>
        <v>8834</v>
      </c>
      <c r="U35" s="365" t="str">
        <f t="shared" si="0"/>
        <v xml:space="preserve">  </v>
      </c>
      <c r="V35" s="366">
        <f t="shared" si="2"/>
        <v>65437.5</v>
      </c>
      <c r="W35" s="243"/>
      <c r="X35" s="379"/>
      <c r="Y35" s="368"/>
      <c r="Z35" s="289" t="s">
        <v>792</v>
      </c>
      <c r="AA35" s="387"/>
      <c r="AB35" s="388"/>
      <c r="AC35" s="388"/>
      <c r="AD35" s="388">
        <f t="shared" si="4"/>
        <v>0</v>
      </c>
      <c r="AE35" s="388">
        <f t="shared" si="5"/>
        <v>0</v>
      </c>
      <c r="AF35" s="388"/>
      <c r="AG35" s="388"/>
      <c r="AH35" s="388"/>
      <c r="AI35" s="388"/>
      <c r="AJ35" s="369">
        <f t="shared" si="6"/>
        <v>0</v>
      </c>
      <c r="AK35" s="389"/>
      <c r="AL35" s="390"/>
      <c r="AM35" s="390"/>
      <c r="AN35" s="390"/>
      <c r="AO35" s="381">
        <f t="shared" si="3"/>
        <v>0</v>
      </c>
      <c r="AP35" s="382">
        <f t="shared" si="8"/>
        <v>0.3909242298084929</v>
      </c>
    </row>
    <row r="36" spans="1:42" ht="14.9" hidden="1" customHeight="1" outlineLevel="1">
      <c r="A36" s="289" t="s">
        <v>793</v>
      </c>
      <c r="B36" s="391"/>
      <c r="C36" s="629"/>
      <c r="D36" s="630"/>
      <c r="E36" s="631"/>
      <c r="F36" s="393"/>
      <c r="G36" s="292"/>
      <c r="H36" s="292">
        <v>3855</v>
      </c>
      <c r="I36" s="292"/>
      <c r="K36" s="292">
        <v>1527</v>
      </c>
      <c r="L36" s="292">
        <v>1645</v>
      </c>
      <c r="M36" s="292">
        <v>697</v>
      </c>
      <c r="N36" s="292">
        <v>4381</v>
      </c>
      <c r="O36" s="364">
        <f t="shared" si="1"/>
        <v>12105</v>
      </c>
      <c r="P36" s="377"/>
      <c r="Q36" s="394"/>
      <c r="R36" s="394">
        <v>3798</v>
      </c>
      <c r="S36" s="394">
        <v>550</v>
      </c>
      <c r="T36" s="364">
        <f t="shared" si="7"/>
        <v>4348</v>
      </c>
      <c r="U36" s="365" t="str">
        <f t="shared" si="0"/>
        <v xml:space="preserve">  </v>
      </c>
      <c r="V36" s="366">
        <f t="shared" si="2"/>
        <v>65437.5</v>
      </c>
      <c r="W36" s="243"/>
      <c r="X36" s="379"/>
      <c r="Y36" s="368"/>
      <c r="Z36" s="289" t="s">
        <v>793</v>
      </c>
      <c r="AA36" s="387"/>
      <c r="AB36" s="388"/>
      <c r="AC36" s="388"/>
      <c r="AD36" s="388">
        <f t="shared" si="4"/>
        <v>0</v>
      </c>
      <c r="AE36" s="388">
        <f t="shared" si="5"/>
        <v>0</v>
      </c>
      <c r="AF36" s="388"/>
      <c r="AG36" s="388"/>
      <c r="AH36" s="388"/>
      <c r="AI36" s="388"/>
      <c r="AJ36" s="369">
        <f t="shared" si="6"/>
        <v>0</v>
      </c>
      <c r="AK36" s="389"/>
      <c r="AL36" s="390"/>
      <c r="AM36" s="390"/>
      <c r="AN36" s="390"/>
      <c r="AO36" s="381">
        <f t="shared" si="3"/>
        <v>0</v>
      </c>
      <c r="AP36" s="382">
        <f t="shared" si="8"/>
        <v>0.28676056338028166</v>
      </c>
    </row>
    <row r="37" spans="1:42" ht="14.9" hidden="1" customHeight="1" outlineLevel="1">
      <c r="A37" s="289" t="s">
        <v>794</v>
      </c>
      <c r="B37" s="391"/>
      <c r="C37" s="629"/>
      <c r="D37" s="630"/>
      <c r="E37" s="631"/>
      <c r="F37" s="393"/>
      <c r="G37" s="292"/>
      <c r="H37" s="292">
        <v>5582</v>
      </c>
      <c r="I37" s="292"/>
      <c r="K37" s="292"/>
      <c r="L37" s="292">
        <v>4189</v>
      </c>
      <c r="M37" s="292"/>
      <c r="N37" s="292">
        <v>6535</v>
      </c>
      <c r="O37" s="364">
        <f t="shared" si="1"/>
        <v>16306</v>
      </c>
      <c r="P37" s="377"/>
      <c r="Q37" s="394"/>
      <c r="R37" s="394">
        <v>0</v>
      </c>
      <c r="S37" s="394">
        <v>1037</v>
      </c>
      <c r="T37" s="364">
        <f t="shared" si="7"/>
        <v>1037</v>
      </c>
      <c r="U37" s="365" t="str">
        <f t="shared" si="0"/>
        <v xml:space="preserve">  </v>
      </c>
      <c r="V37" s="366">
        <f t="shared" si="2"/>
        <v>65437.5</v>
      </c>
      <c r="W37" s="243"/>
      <c r="X37" s="379"/>
      <c r="Y37" s="368"/>
      <c r="Z37" s="289" t="s">
        <v>794</v>
      </c>
      <c r="AA37" s="387"/>
      <c r="AB37" s="388"/>
      <c r="AC37" s="388"/>
      <c r="AD37" s="388">
        <f t="shared" si="4"/>
        <v>0</v>
      </c>
      <c r="AE37" s="388">
        <f t="shared" si="5"/>
        <v>0</v>
      </c>
      <c r="AF37" s="388"/>
      <c r="AG37" s="388"/>
      <c r="AH37" s="388"/>
      <c r="AI37" s="388"/>
      <c r="AJ37" s="369">
        <f t="shared" si="6"/>
        <v>0</v>
      </c>
      <c r="AK37" s="389"/>
      <c r="AL37" s="390"/>
      <c r="AM37" s="390"/>
      <c r="AN37" s="390"/>
      <c r="AO37" s="381">
        <f t="shared" si="3"/>
        <v>0</v>
      </c>
      <c r="AP37" s="382" t="e">
        <f t="shared" si="8"/>
        <v>#DIV/0!</v>
      </c>
    </row>
    <row r="38" spans="1:42" ht="14.9" hidden="1" customHeight="1" outlineLevel="1">
      <c r="A38" s="289" t="s">
        <v>795</v>
      </c>
      <c r="B38" s="391"/>
      <c r="C38" s="629"/>
      <c r="D38" s="630"/>
      <c r="E38" s="631"/>
      <c r="F38" s="393"/>
      <c r="G38" s="292"/>
      <c r="H38" s="292">
        <v>1257</v>
      </c>
      <c r="I38" s="292"/>
      <c r="K38" s="292">
        <v>316</v>
      </c>
      <c r="L38" s="292">
        <v>303</v>
      </c>
      <c r="M38" s="292">
        <v>298</v>
      </c>
      <c r="N38" s="292">
        <v>1363</v>
      </c>
      <c r="O38" s="364">
        <f t="shared" si="1"/>
        <v>3537</v>
      </c>
      <c r="P38" s="377"/>
      <c r="Q38" s="394"/>
      <c r="R38" s="394">
        <v>1902</v>
      </c>
      <c r="S38" s="394">
        <v>529</v>
      </c>
      <c r="T38" s="364">
        <f t="shared" si="7"/>
        <v>2431</v>
      </c>
      <c r="U38" s="365" t="str">
        <f t="shared" si="0"/>
        <v xml:space="preserve">  </v>
      </c>
      <c r="V38" s="366">
        <f t="shared" si="2"/>
        <v>65437.5</v>
      </c>
      <c r="W38" s="243"/>
      <c r="X38" s="379"/>
      <c r="Y38" s="368"/>
      <c r="Z38" s="289" t="s">
        <v>795</v>
      </c>
      <c r="AA38" s="387"/>
      <c r="AB38" s="388"/>
      <c r="AC38" s="388"/>
      <c r="AD38" s="388">
        <f t="shared" si="4"/>
        <v>0</v>
      </c>
      <c r="AE38" s="388">
        <f t="shared" si="5"/>
        <v>0</v>
      </c>
      <c r="AF38" s="388"/>
      <c r="AG38" s="388"/>
      <c r="AH38" s="388"/>
      <c r="AI38" s="388"/>
      <c r="AJ38" s="369">
        <f t="shared" si="6"/>
        <v>0</v>
      </c>
      <c r="AK38" s="389"/>
      <c r="AL38" s="390"/>
      <c r="AM38" s="390"/>
      <c r="AN38" s="390"/>
      <c r="AO38" s="381">
        <f t="shared" si="3"/>
        <v>0</v>
      </c>
      <c r="AP38" s="382">
        <f t="shared" si="8"/>
        <v>0.1424706943192065</v>
      </c>
    </row>
    <row r="39" spans="1:42" ht="14.9" hidden="1" customHeight="1" outlineLevel="1">
      <c r="A39" s="289" t="s">
        <v>796</v>
      </c>
      <c r="B39" s="391"/>
      <c r="C39" s="629"/>
      <c r="D39" s="630"/>
      <c r="E39" s="631"/>
      <c r="F39" s="393"/>
      <c r="G39" s="292"/>
      <c r="H39" s="292">
        <v>1613</v>
      </c>
      <c r="I39" s="292"/>
      <c r="K39" s="292">
        <v>95</v>
      </c>
      <c r="L39" s="292">
        <v>681</v>
      </c>
      <c r="M39" s="292">
        <v>337</v>
      </c>
      <c r="N39" s="292">
        <v>472</v>
      </c>
      <c r="O39" s="364">
        <f t="shared" si="1"/>
        <v>3198</v>
      </c>
      <c r="P39" s="377"/>
      <c r="Q39" s="394"/>
      <c r="R39" s="394">
        <v>43</v>
      </c>
      <c r="S39" s="394">
        <v>84</v>
      </c>
      <c r="T39" s="364">
        <f t="shared" si="7"/>
        <v>127</v>
      </c>
      <c r="U39" s="365" t="str">
        <f t="shared" si="0"/>
        <v xml:space="preserve">  </v>
      </c>
      <c r="V39" s="366">
        <f t="shared" si="2"/>
        <v>65437.5</v>
      </c>
      <c r="W39" s="243"/>
      <c r="X39" s="379"/>
      <c r="Y39" s="368"/>
      <c r="Z39" s="289" t="s">
        <v>796</v>
      </c>
      <c r="AA39" s="387"/>
      <c r="AB39" s="388"/>
      <c r="AC39" s="388"/>
      <c r="AD39" s="388">
        <f t="shared" si="4"/>
        <v>0</v>
      </c>
      <c r="AE39" s="388">
        <f t="shared" si="5"/>
        <v>0</v>
      </c>
      <c r="AF39" s="388"/>
      <c r="AG39" s="388"/>
      <c r="AH39" s="388"/>
      <c r="AI39" s="388"/>
      <c r="AJ39" s="369">
        <f t="shared" si="6"/>
        <v>0</v>
      </c>
      <c r="AK39" s="389"/>
      <c r="AL39" s="390"/>
      <c r="AM39" s="390"/>
      <c r="AN39" s="390"/>
      <c r="AO39" s="381">
        <f t="shared" si="3"/>
        <v>0</v>
      </c>
      <c r="AP39" s="382">
        <f t="shared" si="8"/>
        <v>0.68840579710144922</v>
      </c>
    </row>
    <row r="40" spans="1:42" ht="14.9" hidden="1" customHeight="1" outlineLevel="1">
      <c r="A40" s="289" t="s">
        <v>797</v>
      </c>
      <c r="B40" s="391"/>
      <c r="C40" s="629"/>
      <c r="D40" s="630"/>
      <c r="E40" s="631"/>
      <c r="F40" s="393"/>
      <c r="G40" s="292"/>
      <c r="H40" s="292">
        <v>5430</v>
      </c>
      <c r="I40" s="292"/>
      <c r="K40" s="292">
        <v>1807</v>
      </c>
      <c r="L40" s="292">
        <v>5596</v>
      </c>
      <c r="M40" s="292">
        <v>1486</v>
      </c>
      <c r="N40" s="292">
        <v>28904</v>
      </c>
      <c r="O40" s="364">
        <f t="shared" si="1"/>
        <v>43223</v>
      </c>
      <c r="P40" s="377"/>
      <c r="Q40" s="394"/>
      <c r="R40" s="394">
        <v>38</v>
      </c>
      <c r="S40" s="394">
        <v>3275</v>
      </c>
      <c r="T40" s="364">
        <f t="shared" si="7"/>
        <v>3313</v>
      </c>
      <c r="U40" s="365" t="str">
        <f t="shared" si="0"/>
        <v xml:space="preserve">  </v>
      </c>
      <c r="V40" s="366">
        <f t="shared" si="2"/>
        <v>65437.5</v>
      </c>
      <c r="W40" s="243"/>
      <c r="X40" s="379"/>
      <c r="Y40" s="368"/>
      <c r="Z40" s="289" t="s">
        <v>797</v>
      </c>
      <c r="AA40" s="387"/>
      <c r="AB40" s="388"/>
      <c r="AC40" s="388"/>
      <c r="AD40" s="388">
        <f t="shared" si="4"/>
        <v>0</v>
      </c>
      <c r="AE40" s="388">
        <f t="shared" si="5"/>
        <v>0</v>
      </c>
      <c r="AF40" s="388"/>
      <c r="AG40" s="388"/>
      <c r="AH40" s="388"/>
      <c r="AI40" s="388"/>
      <c r="AJ40" s="369">
        <f t="shared" si="6"/>
        <v>0</v>
      </c>
      <c r="AK40" s="389"/>
      <c r="AL40" s="390"/>
      <c r="AM40" s="390"/>
      <c r="AN40" s="390"/>
      <c r="AO40" s="381">
        <f t="shared" si="3"/>
        <v>0</v>
      </c>
      <c r="AP40" s="382">
        <f t="shared" si="8"/>
        <v>0.97940379403794042</v>
      </c>
    </row>
    <row r="41" spans="1:42" collapsed="1">
      <c r="A41" s="256" t="s">
        <v>748</v>
      </c>
      <c r="B41" s="356"/>
      <c r="C41" s="383">
        <f>'[2]Commerical demand'!D52</f>
        <v>22305466.666666668</v>
      </c>
      <c r="D41" s="357">
        <f>D30</f>
        <v>7116.8</v>
      </c>
      <c r="E41" s="358">
        <f>C41/D41/1000</f>
        <v>3.1341988908872902</v>
      </c>
      <c r="F41" s="386">
        <v>3555</v>
      </c>
      <c r="G41" s="385"/>
      <c r="H41" s="385">
        <v>2404</v>
      </c>
      <c r="I41" s="385"/>
      <c r="K41" s="385"/>
      <c r="L41" s="385">
        <v>864</v>
      </c>
      <c r="M41" s="385"/>
      <c r="N41" s="385">
        <v>1885</v>
      </c>
      <c r="O41" s="364">
        <f>SUM(F41:N41)</f>
        <v>8708</v>
      </c>
      <c r="P41" s="386">
        <v>3959</v>
      </c>
      <c r="Q41" s="394"/>
      <c r="R41" s="394"/>
      <c r="S41" s="378">
        <v>1326</v>
      </c>
      <c r="T41" s="364">
        <f t="shared" si="7"/>
        <v>5285</v>
      </c>
      <c r="U41" s="365" t="str">
        <f t="shared" si="0"/>
        <v xml:space="preserve">  </v>
      </c>
      <c r="V41" s="366">
        <f t="shared" si="2"/>
        <v>65437.5</v>
      </c>
      <c r="W41" s="363" t="e">
        <f>O41/3.6*1000000*U41/1000000</f>
        <v>#VALUE!</v>
      </c>
      <c r="X41" s="379">
        <f>T41*V41/1000000</f>
        <v>345.83718750000003</v>
      </c>
      <c r="Y41" s="368" t="e">
        <f>W41+X41</f>
        <v>#VALUE!</v>
      </c>
      <c r="Z41" s="256" t="s">
        <v>748</v>
      </c>
      <c r="AA41" s="387">
        <f>F41/$C$41*1000000000000*'[2]EF-1'!$R$6</f>
        <v>44.271658367754391</v>
      </c>
      <c r="AB41" s="388"/>
      <c r="AC41" s="388">
        <f>H41/$C$41*1000000000000*'[2]EF-1'!$R$6</f>
        <v>29.937852803398467</v>
      </c>
      <c r="AD41" s="388">
        <f t="shared" si="4"/>
        <v>19.459604322209003</v>
      </c>
      <c r="AE41" s="388">
        <f t="shared" si="5"/>
        <v>23.950282242718774</v>
      </c>
      <c r="AF41" s="388"/>
      <c r="AG41" s="388">
        <f>L41/$C$41*1000000000000*'[2]EF-1'!$R$6</f>
        <v>10.759694185580813</v>
      </c>
      <c r="AH41" s="388"/>
      <c r="AI41" s="388">
        <f>N41/$C$41*1000000000000*'[2]EF-1'!$R$6</f>
        <v>23.474564282198877</v>
      </c>
      <c r="AJ41" s="369">
        <f t="shared" si="6"/>
        <v>107.58199783610593</v>
      </c>
      <c r="AK41" s="389">
        <f>P41/$C$41*1000000000000*'[2]EF-1'!$R$8</f>
        <v>4.9873587165049136</v>
      </c>
      <c r="AL41" s="390"/>
      <c r="AM41" s="390"/>
      <c r="AN41" s="390">
        <f>S41/$C$41*1000000000000*'[2]EF-1'!$R$8</f>
        <v>1.670431335712431</v>
      </c>
      <c r="AO41" s="381">
        <f>SUM(AK41:AN41)</f>
        <v>6.6577900522173445</v>
      </c>
      <c r="AP41" s="382"/>
    </row>
    <row r="42" spans="1:42" ht="15" hidden="1" customHeight="1">
      <c r="A42" s="289" t="s">
        <v>798</v>
      </c>
      <c r="B42" s="356"/>
      <c r="C42" s="645">
        <v>16525600</v>
      </c>
      <c r="D42" s="357"/>
      <c r="E42" s="358"/>
      <c r="F42" s="331"/>
      <c r="G42" s="243"/>
      <c r="H42" s="243"/>
      <c r="I42" s="243"/>
      <c r="K42" s="243"/>
      <c r="L42" s="243"/>
      <c r="M42" s="243"/>
      <c r="N42" s="243"/>
      <c r="O42" s="395"/>
      <c r="P42" s="289"/>
      <c r="Q42" s="243"/>
      <c r="R42" s="243"/>
      <c r="S42" s="243"/>
      <c r="T42" s="395"/>
      <c r="U42" s="289"/>
      <c r="V42" s="395"/>
      <c r="W42" s="243"/>
      <c r="X42" s="243"/>
      <c r="Y42" s="395"/>
      <c r="Z42" s="289" t="s">
        <v>798</v>
      </c>
      <c r="AA42" s="356"/>
      <c r="AB42" s="369"/>
      <c r="AC42" s="369"/>
      <c r="AD42" s="369"/>
      <c r="AE42" s="370"/>
      <c r="AF42" s="369"/>
      <c r="AG42" s="369"/>
      <c r="AH42" s="369"/>
      <c r="AI42" s="369"/>
      <c r="AJ42" s="369"/>
      <c r="AK42" s="380"/>
      <c r="AL42" s="396"/>
      <c r="AM42" s="396"/>
      <c r="AN42" s="396"/>
      <c r="AO42" s="381"/>
      <c r="AP42" s="382" t="e">
        <f>(G42+K42)/(G42+K42+Q42+R42)</f>
        <v>#DIV/0!</v>
      </c>
    </row>
    <row r="43" spans="1:42" ht="15" hidden="1" customHeight="1">
      <c r="A43" s="289" t="s">
        <v>799</v>
      </c>
      <c r="B43" s="356"/>
      <c r="C43" s="645"/>
      <c r="D43" s="357"/>
      <c r="E43" s="358"/>
      <c r="F43" s="331"/>
      <c r="G43" s="243"/>
      <c r="H43" s="243"/>
      <c r="I43" s="243"/>
      <c r="K43" s="243"/>
      <c r="L43" s="243"/>
      <c r="M43" s="243"/>
      <c r="N43" s="243"/>
      <c r="O43" s="395"/>
      <c r="P43" s="289"/>
      <c r="Q43" s="243"/>
      <c r="R43" s="243"/>
      <c r="S43" s="243"/>
      <c r="T43" s="395"/>
      <c r="U43" s="289"/>
      <c r="V43" s="395"/>
      <c r="W43" s="243"/>
      <c r="X43" s="243"/>
      <c r="Y43" s="395"/>
      <c r="Z43" s="289" t="s">
        <v>799</v>
      </c>
      <c r="AA43" s="356"/>
      <c r="AB43" s="369"/>
      <c r="AC43" s="369"/>
      <c r="AD43" s="369"/>
      <c r="AE43" s="370"/>
      <c r="AF43" s="369"/>
      <c r="AG43" s="369"/>
      <c r="AH43" s="369"/>
      <c r="AI43" s="369"/>
      <c r="AJ43" s="369"/>
      <c r="AK43" s="380"/>
      <c r="AL43" s="396"/>
      <c r="AM43" s="396"/>
      <c r="AN43" s="396"/>
      <c r="AO43" s="381"/>
      <c r="AP43" s="382" t="e">
        <f>(G43+K43)/(G43+K43+Q43+R43)</f>
        <v>#DIV/0!</v>
      </c>
    </row>
    <row r="44" spans="1:42">
      <c r="A44" s="289" t="s">
        <v>800</v>
      </c>
      <c r="B44" s="356"/>
      <c r="C44" s="357">
        <v>3810700</v>
      </c>
      <c r="D44" s="357"/>
      <c r="E44" s="358"/>
      <c r="F44" s="397"/>
      <c r="G44" s="398"/>
      <c r="H44" s="398"/>
      <c r="I44" s="398"/>
      <c r="J44" s="399"/>
      <c r="K44" s="398"/>
      <c r="L44" s="398"/>
      <c r="M44" s="398"/>
      <c r="N44" s="398"/>
      <c r="O44" s="400"/>
      <c r="P44" s="289"/>
      <c r="Q44" s="243"/>
      <c r="R44" s="243"/>
      <c r="S44" s="243"/>
      <c r="T44" s="395"/>
      <c r="U44" s="289"/>
      <c r="V44" s="395"/>
      <c r="W44" s="243"/>
      <c r="X44" s="243"/>
      <c r="Y44" s="395"/>
      <c r="Z44" s="289" t="s">
        <v>801</v>
      </c>
      <c r="AA44" s="356"/>
      <c r="AB44" s="369"/>
      <c r="AC44" s="369"/>
      <c r="AD44" s="369"/>
      <c r="AE44" s="370"/>
      <c r="AF44" s="369"/>
      <c r="AG44" s="369"/>
      <c r="AH44" s="369"/>
      <c r="AI44" s="369"/>
      <c r="AJ44" s="369"/>
      <c r="AK44" s="380"/>
      <c r="AL44" s="396"/>
      <c r="AM44" s="396"/>
      <c r="AN44" s="396"/>
      <c r="AO44" s="381"/>
      <c r="AP44" s="382"/>
    </row>
    <row r="45" spans="1:42" s="273" customFormat="1">
      <c r="A45" s="401" t="s">
        <v>802</v>
      </c>
      <c r="B45" s="402">
        <f>(B30+B33+B41)</f>
        <v>2384228</v>
      </c>
      <c r="C45" s="403">
        <f>(C30+C33+C41)</f>
        <v>155637818.66666666</v>
      </c>
      <c r="D45" s="403"/>
      <c r="E45" s="404">
        <f>(E30+E33+E41)</f>
        <v>21.869072991606714</v>
      </c>
      <c r="F45" s="403">
        <f>(F30+F33+F41)</f>
        <v>3555</v>
      </c>
      <c r="G45" s="403">
        <f>(G30+G33+G41)</f>
        <v>7965</v>
      </c>
      <c r="H45" s="403">
        <f>(H30+H33+H41)</f>
        <v>47938</v>
      </c>
      <c r="I45" s="403"/>
      <c r="J45" s="403"/>
      <c r="K45" s="403">
        <f t="shared" ref="K45:T45" si="9">(K30+K33+K41)</f>
        <v>14669</v>
      </c>
      <c r="L45" s="403">
        <f t="shared" si="9"/>
        <v>19838</v>
      </c>
      <c r="M45" s="403">
        <f t="shared" si="9"/>
        <v>11054</v>
      </c>
      <c r="N45" s="403">
        <f t="shared" si="9"/>
        <v>50691</v>
      </c>
      <c r="O45" s="405">
        <f t="shared" si="9"/>
        <v>155710</v>
      </c>
      <c r="P45" s="402">
        <f t="shared" si="9"/>
        <v>3959</v>
      </c>
      <c r="Q45" s="403">
        <f t="shared" si="9"/>
        <v>19003</v>
      </c>
      <c r="R45" s="403">
        <f t="shared" si="9"/>
        <v>13873</v>
      </c>
      <c r="S45" s="403">
        <f t="shared" si="9"/>
        <v>6888</v>
      </c>
      <c r="T45" s="405">
        <f t="shared" si="9"/>
        <v>43723</v>
      </c>
      <c r="U45" s="402"/>
      <c r="V45" s="405"/>
      <c r="W45" s="403" t="e">
        <f>(W30+W33+W41)</f>
        <v>#VALUE!</v>
      </c>
      <c r="X45" s="403">
        <f>(X30+X33+X41)</f>
        <v>2861.1238125</v>
      </c>
      <c r="Y45" s="405" t="e">
        <f>(Y30+Y33+Y41)</f>
        <v>#VALUE!</v>
      </c>
      <c r="Z45" s="401" t="s">
        <v>802</v>
      </c>
      <c r="AA45" s="402"/>
      <c r="AB45" s="403"/>
      <c r="AC45" s="403"/>
      <c r="AD45" s="403"/>
      <c r="AE45" s="406"/>
      <c r="AF45" s="403"/>
      <c r="AG45" s="403"/>
      <c r="AH45" s="403"/>
      <c r="AI45" s="403"/>
      <c r="AJ45" s="403"/>
      <c r="AK45" s="407"/>
      <c r="AL45" s="408"/>
      <c r="AM45" s="408"/>
      <c r="AN45" s="408"/>
      <c r="AO45" s="409"/>
      <c r="AP45" s="410"/>
    </row>
    <row r="46" spans="1:42">
      <c r="A46" s="411"/>
      <c r="B46" s="332"/>
      <c r="C46" s="332"/>
      <c r="D46" s="332"/>
      <c r="E46" s="332"/>
      <c r="F46" s="332"/>
      <c r="G46" s="243"/>
      <c r="H46" s="243"/>
      <c r="I46" s="243"/>
      <c r="K46" s="243"/>
      <c r="L46" s="243"/>
      <c r="M46" s="243"/>
      <c r="N46" s="243"/>
      <c r="O46" s="243"/>
      <c r="P46" s="243"/>
      <c r="Q46" s="243"/>
      <c r="R46" s="243"/>
      <c r="S46" s="243"/>
      <c r="T46" s="243"/>
      <c r="U46" s="243"/>
      <c r="V46" s="243"/>
      <c r="W46" s="243"/>
      <c r="X46" s="243"/>
      <c r="Y46" s="412"/>
      <c r="Z46" s="411"/>
      <c r="AA46" s="332"/>
      <c r="AB46" s="332"/>
      <c r="AC46" s="332"/>
      <c r="AD46" s="332"/>
      <c r="AF46" s="332"/>
      <c r="AG46" s="332"/>
      <c r="AH46" s="332"/>
      <c r="AI46" s="332"/>
      <c r="AJ46" s="332"/>
      <c r="AK46" s="413"/>
      <c r="AL46" s="413"/>
      <c r="AM46" s="413"/>
      <c r="AN46" s="413"/>
      <c r="AO46" s="413"/>
      <c r="AP46" s="332"/>
    </row>
    <row r="47" spans="1:42">
      <c r="A47" s="243"/>
      <c r="B47" s="332"/>
      <c r="C47" s="332"/>
      <c r="D47" s="332"/>
      <c r="E47" s="332"/>
      <c r="F47" s="332"/>
      <c r="G47" s="243"/>
      <c r="H47" s="243"/>
      <c r="I47" s="243"/>
      <c r="K47" s="243"/>
      <c r="L47" s="243"/>
      <c r="M47" s="243"/>
      <c r="N47" s="243"/>
      <c r="O47" s="363"/>
      <c r="P47" s="243"/>
      <c r="Q47" s="243"/>
      <c r="R47" s="243"/>
      <c r="S47" s="243"/>
      <c r="T47" s="243"/>
      <c r="U47" s="243"/>
      <c r="V47" s="243"/>
      <c r="W47" s="243"/>
      <c r="X47" s="243"/>
      <c r="Y47" s="243"/>
      <c r="Z47" s="243"/>
      <c r="AA47" s="332"/>
      <c r="AB47" s="332"/>
      <c r="AC47" s="332"/>
      <c r="AD47" s="332"/>
      <c r="AF47" s="332"/>
      <c r="AG47" s="332"/>
      <c r="AH47" s="332"/>
      <c r="AI47" s="332"/>
      <c r="AJ47" s="332"/>
      <c r="AK47" s="413"/>
      <c r="AL47" s="413"/>
      <c r="AM47" s="413"/>
      <c r="AN47" s="413"/>
      <c r="AO47" s="413"/>
      <c r="AP47" s="332"/>
    </row>
    <row r="48" spans="1:42" ht="15" customHeight="1">
      <c r="A48" s="623">
        <v>2050</v>
      </c>
      <c r="B48" s="646" t="s">
        <v>803</v>
      </c>
      <c r="C48" s="647"/>
      <c r="D48" s="647"/>
      <c r="E48" s="648"/>
      <c r="F48" s="649" t="s">
        <v>770</v>
      </c>
      <c r="G48" s="650"/>
      <c r="H48" s="650"/>
      <c r="I48" s="650"/>
      <c r="J48" s="650"/>
      <c r="K48" s="650"/>
      <c r="L48" s="650"/>
      <c r="M48" s="650"/>
      <c r="N48" s="650"/>
      <c r="O48" s="651"/>
      <c r="P48" s="321" t="s">
        <v>771</v>
      </c>
      <c r="Q48" s="322"/>
      <c r="R48" s="322"/>
      <c r="S48" s="322"/>
      <c r="T48" s="323"/>
      <c r="U48" s="359" t="s">
        <v>804</v>
      </c>
      <c r="V48" s="414"/>
      <c r="W48" s="328" t="s">
        <v>773</v>
      </c>
      <c r="X48" s="328"/>
      <c r="Y48" s="415"/>
      <c r="Z48" s="416">
        <v>2050</v>
      </c>
      <c r="AA48" s="327" t="s">
        <v>774</v>
      </c>
      <c r="AB48" s="328"/>
      <c r="AC48" s="328"/>
      <c r="AD48" s="328"/>
      <c r="AE48" s="329"/>
      <c r="AF48" s="328"/>
      <c r="AG48" s="328"/>
      <c r="AH48" s="328"/>
      <c r="AI48" s="328"/>
      <c r="AJ48" s="415"/>
      <c r="AK48" s="417" t="s">
        <v>775</v>
      </c>
      <c r="AL48" s="418"/>
      <c r="AM48" s="418"/>
      <c r="AN48" s="418"/>
      <c r="AO48" s="418"/>
      <c r="AP48" s="330" t="s">
        <v>805</v>
      </c>
    </row>
    <row r="49" spans="1:42" ht="72.650000000000006" customHeight="1">
      <c r="A49" s="624"/>
      <c r="B49" s="331" t="s">
        <v>806</v>
      </c>
      <c r="C49" s="332" t="s">
        <v>778</v>
      </c>
      <c r="D49" s="332" t="s">
        <v>779</v>
      </c>
      <c r="E49" s="333" t="s">
        <v>780</v>
      </c>
      <c r="F49" s="337" t="s">
        <v>732</v>
      </c>
      <c r="G49" s="334" t="s">
        <v>733</v>
      </c>
      <c r="H49" s="334" t="s">
        <v>734</v>
      </c>
      <c r="I49" s="334" t="s">
        <v>735</v>
      </c>
      <c r="J49" s="215" t="s">
        <v>764</v>
      </c>
      <c r="K49" s="334" t="s">
        <v>736</v>
      </c>
      <c r="L49" s="334" t="s">
        <v>737</v>
      </c>
      <c r="M49" s="334" t="s">
        <v>738</v>
      </c>
      <c r="N49" s="334" t="s">
        <v>739</v>
      </c>
      <c r="O49" s="336" t="s">
        <v>740</v>
      </c>
      <c r="P49" s="337" t="s">
        <v>732</v>
      </c>
      <c r="Q49" s="334" t="s">
        <v>733</v>
      </c>
      <c r="R49" s="338" t="s">
        <v>781</v>
      </c>
      <c r="S49" s="334" t="s">
        <v>739</v>
      </c>
      <c r="T49" s="336" t="s">
        <v>740</v>
      </c>
      <c r="U49" s="339" t="s">
        <v>753</v>
      </c>
      <c r="V49" s="340" t="s">
        <v>756</v>
      </c>
      <c r="W49" s="234" t="s">
        <v>753</v>
      </c>
      <c r="X49" s="234" t="s">
        <v>756</v>
      </c>
      <c r="Y49" s="340" t="s">
        <v>742</v>
      </c>
      <c r="Z49" s="419"/>
      <c r="AA49" s="337" t="s">
        <v>732</v>
      </c>
      <c r="AB49" s="334" t="s">
        <v>733</v>
      </c>
      <c r="AC49" s="334" t="s">
        <v>734</v>
      </c>
      <c r="AD49" s="334" t="s">
        <v>735</v>
      </c>
      <c r="AE49" s="215" t="s">
        <v>764</v>
      </c>
      <c r="AF49" s="334" t="s">
        <v>736</v>
      </c>
      <c r="AG49" s="334" t="s">
        <v>737</v>
      </c>
      <c r="AH49" s="334" t="s">
        <v>738</v>
      </c>
      <c r="AI49" s="334" t="s">
        <v>739</v>
      </c>
      <c r="AJ49" s="336" t="s">
        <v>740</v>
      </c>
      <c r="AK49" s="420" t="s">
        <v>732</v>
      </c>
      <c r="AL49" s="421" t="s">
        <v>733</v>
      </c>
      <c r="AM49" s="421" t="s">
        <v>541</v>
      </c>
      <c r="AN49" s="421" t="s">
        <v>739</v>
      </c>
      <c r="AO49" s="396" t="s">
        <v>742</v>
      </c>
      <c r="AP49" s="345"/>
    </row>
    <row r="50" spans="1:42" s="233" customFormat="1" ht="43.5" customHeight="1">
      <c r="A50" s="625"/>
      <c r="B50" s="422"/>
      <c r="C50" s="423" t="s">
        <v>782</v>
      </c>
      <c r="D50" s="423" t="s">
        <v>783</v>
      </c>
      <c r="E50" s="424" t="s">
        <v>782</v>
      </c>
      <c r="F50" s="425" t="s">
        <v>784</v>
      </c>
      <c r="G50" s="426" t="s">
        <v>784</v>
      </c>
      <c r="H50" s="426" t="s">
        <v>784</v>
      </c>
      <c r="I50" s="349" t="s">
        <v>784</v>
      </c>
      <c r="J50" s="349" t="s">
        <v>784</v>
      </c>
      <c r="K50" s="426" t="s">
        <v>784</v>
      </c>
      <c r="L50" s="426" t="s">
        <v>784</v>
      </c>
      <c r="M50" s="426" t="s">
        <v>784</v>
      </c>
      <c r="N50" s="426" t="s">
        <v>784</v>
      </c>
      <c r="O50" s="427" t="s">
        <v>784</v>
      </c>
      <c r="P50" s="422" t="s">
        <v>784</v>
      </c>
      <c r="Q50" s="423" t="s">
        <v>784</v>
      </c>
      <c r="R50" s="423" t="s">
        <v>784</v>
      </c>
      <c r="S50" s="423" t="s">
        <v>784</v>
      </c>
      <c r="T50" s="424" t="s">
        <v>784</v>
      </c>
      <c r="U50" s="428" t="s">
        <v>754</v>
      </c>
      <c r="V50" s="429" t="s">
        <v>757</v>
      </c>
      <c r="W50" s="430" t="s">
        <v>785</v>
      </c>
      <c r="X50" s="430" t="s">
        <v>785</v>
      </c>
      <c r="Y50" s="429" t="s">
        <v>785</v>
      </c>
      <c r="Z50" s="431"/>
      <c r="AA50" s="347" t="s">
        <v>786</v>
      </c>
      <c r="AB50" s="347" t="s">
        <v>786</v>
      </c>
      <c r="AC50" s="347" t="s">
        <v>786</v>
      </c>
      <c r="AD50" s="347" t="s">
        <v>786</v>
      </c>
      <c r="AE50" s="347" t="s">
        <v>786</v>
      </c>
      <c r="AF50" s="347" t="s">
        <v>786</v>
      </c>
      <c r="AG50" s="347" t="s">
        <v>786</v>
      </c>
      <c r="AH50" s="347" t="s">
        <v>786</v>
      </c>
      <c r="AI50" s="347" t="s">
        <v>786</v>
      </c>
      <c r="AJ50" s="347" t="s">
        <v>786</v>
      </c>
      <c r="AK50" s="432" t="s">
        <v>807</v>
      </c>
      <c r="AL50" s="432" t="s">
        <v>807</v>
      </c>
      <c r="AM50" s="432" t="s">
        <v>807</v>
      </c>
      <c r="AN50" s="432" t="s">
        <v>807</v>
      </c>
      <c r="AO50" s="432" t="s">
        <v>807</v>
      </c>
      <c r="AP50" s="433"/>
    </row>
    <row r="51" spans="1:42">
      <c r="A51" s="256" t="s">
        <v>744</v>
      </c>
      <c r="B51" s="356">
        <f>SUM(B52:B53)</f>
        <v>4296753.4008807326</v>
      </c>
      <c r="C51" s="434">
        <f>SUM(C52:C53)</f>
        <v>19430160402.255188</v>
      </c>
      <c r="D51" s="357">
        <f>'[2]Population and GDP'!E41/1000</f>
        <v>9066.5</v>
      </c>
      <c r="E51" s="435">
        <f>C51/D51/1000</f>
        <v>2143.0717920096163</v>
      </c>
      <c r="F51" s="359"/>
      <c r="G51" s="360">
        <f>SUM(G52:G53)</f>
        <v>3171.148760828064</v>
      </c>
      <c r="H51" s="360">
        <f>SUM(H52:H53)</f>
        <v>24658.341046202851</v>
      </c>
      <c r="I51" s="360"/>
      <c r="J51" s="329"/>
      <c r="K51" s="360">
        <f>SUM(K52:K53)</f>
        <v>8379.9627395409279</v>
      </c>
      <c r="L51" s="360">
        <f>SUM(L52:L53)</f>
        <v>4533.1416906960767</v>
      </c>
      <c r="M51" s="360">
        <f>SUM(M52:M53)</f>
        <v>10878.303296917571</v>
      </c>
      <c r="N51" s="360">
        <f>SUM(N52:N53)</f>
        <v>5110.8994899781919</v>
      </c>
      <c r="O51" s="361">
        <f>SUM(O52:O53)</f>
        <v>56731.797024163679</v>
      </c>
      <c r="P51" s="362"/>
      <c r="Q51" s="363">
        <f>SUM(Q52:Q53)</f>
        <v>8723.7159436822622</v>
      </c>
      <c r="R51" s="363">
        <f>SUM(R52:R53)</f>
        <v>8104.0668329107057</v>
      </c>
      <c r="S51" s="363">
        <f>SUM(S52:S53)</f>
        <v>30.80100631141196</v>
      </c>
      <c r="T51" s="368">
        <f>SUM(T52:T53)*(1-'[2]Key parameters rpt'!O42)</f>
        <v>0</v>
      </c>
      <c r="U51" s="436">
        <f>+O12</f>
        <v>8.765039029278613E-3</v>
      </c>
      <c r="V51" s="437">
        <f>+O13</f>
        <v>65437.5</v>
      </c>
      <c r="W51" s="438">
        <f>SUM(W52:W53)</f>
        <v>138.12678197719634</v>
      </c>
      <c r="X51" s="360">
        <f>SUM(X52:X53)</f>
        <v>0</v>
      </c>
      <c r="Y51" s="361">
        <f>W51+X51</f>
        <v>138.12678197719634</v>
      </c>
      <c r="Z51" s="256" t="s">
        <v>744</v>
      </c>
      <c r="AA51" s="359"/>
      <c r="AB51" s="439"/>
      <c r="AC51" s="439"/>
      <c r="AD51" s="439"/>
      <c r="AE51" s="335"/>
      <c r="AF51" s="439"/>
      <c r="AG51" s="439"/>
      <c r="AH51" s="439"/>
      <c r="AI51" s="439"/>
      <c r="AJ51" s="414"/>
      <c r="AK51" s="380"/>
      <c r="AL51" s="413"/>
      <c r="AM51" s="413"/>
      <c r="AN51" s="413"/>
      <c r="AO51" s="396"/>
      <c r="AP51" s="371"/>
    </row>
    <row r="52" spans="1:42">
      <c r="A52" s="289" t="s">
        <v>789</v>
      </c>
      <c r="B52" s="356">
        <f>'[2]Key parameters rpt'!O27</f>
        <v>2174901.2425941145</v>
      </c>
      <c r="C52" s="434">
        <f>D52*D51*E52</f>
        <v>7887496846.3918161</v>
      </c>
      <c r="D52" s="440">
        <f>B5</f>
        <v>0.4</v>
      </c>
      <c r="E52" s="435">
        <f>C5</f>
        <v>2174901.2425941145</v>
      </c>
      <c r="F52" s="441"/>
      <c r="G52" s="442">
        <f>$B$52*AB52*'[2]EF-1'!$R$5/1000000000000</f>
        <v>1790.6316982867093</v>
      </c>
      <c r="H52" s="442">
        <f>$B$52*AC52*'[2]EF-1'!$R$5/1000000000000</f>
        <v>15685.378442356445</v>
      </c>
      <c r="I52" s="442">
        <v>0</v>
      </c>
      <c r="K52" s="442">
        <f>$B$52*AF52*'[2]EF-1'!$R$5/1000000000000</f>
        <v>5030.6798231746479</v>
      </c>
      <c r="L52" s="442">
        <f>$B$52*AG52*'[2]EF-1'!$R$5/1000000000000</f>
        <v>2860.0934432025397</v>
      </c>
      <c r="M52" s="442">
        <f>$B$52*AH52*'[2]EF-1'!$R$5/1000000000000</f>
        <v>5974.5424130462397</v>
      </c>
      <c r="N52" s="442">
        <f>$B$52*AI52*'[2]EF-1'!$R$5/1000000000000</f>
        <v>3025.8327962804174</v>
      </c>
      <c r="O52" s="366">
        <f>SUM(F52:N52)</f>
        <v>34367.158616346998</v>
      </c>
      <c r="P52" s="443"/>
      <c r="Q52" s="442">
        <f>$B$52*AL52*'[2]EF-1'!$R$5/1000000000000</f>
        <v>4307.1510298506109</v>
      </c>
      <c r="R52" s="442">
        <f>$B$52*AM52*'[2]EF-1'!$R$5/1000000000000</f>
        <v>2994.8194943732215</v>
      </c>
      <c r="S52" s="442">
        <f>$B$52*AN52*'[2]EF-1'!$R$5/1000000000000</f>
        <v>0.86188382903803695</v>
      </c>
      <c r="T52" s="444">
        <f>SUM(Q52:S52)*(1-'[2]Key parameters rpt'!O42)-('[2]Key parameters rpt'!O43/4)</f>
        <v>0</v>
      </c>
      <c r="U52" s="365">
        <f>[2]Electricity!$K$6</f>
        <v>8.765039029278613E-3</v>
      </c>
      <c r="V52" s="442">
        <f>O13</f>
        <v>65437.5</v>
      </c>
      <c r="W52" s="443">
        <f>O52*1000000000000*'[2]EF-1'!R6*U52/1000000</f>
        <v>83.674857388247275</v>
      </c>
      <c r="X52" s="442">
        <f>T52*V52/1000000</f>
        <v>0</v>
      </c>
      <c r="Y52" s="368">
        <f>W52+X52</f>
        <v>83.674857388247275</v>
      </c>
      <c r="Z52" s="289" t="s">
        <v>789</v>
      </c>
      <c r="AA52" s="356"/>
      <c r="AB52" s="369">
        <f>AB31*(1-E5)+AL31*(1-N5)*R5</f>
        <v>228.69897916617998</v>
      </c>
      <c r="AC52" s="445">
        <f>AC31*(1-F5)</f>
        <v>2003.332143083592</v>
      </c>
      <c r="AD52" s="369"/>
      <c r="AE52" s="445"/>
      <c r="AF52" s="369">
        <f>AF31*(1-H5)+AM31*(1-O5)*R5</f>
        <v>642.5170185319289</v>
      </c>
      <c r="AG52" s="369">
        <f>AG31*(1-I5)</f>
        <v>365.29033380016341</v>
      </c>
      <c r="AH52" s="369">
        <f t="shared" ref="AG52:AI54" si="10">AH31*(1-J5)</f>
        <v>763.06688424876882</v>
      </c>
      <c r="AI52" s="369">
        <f>AI31*(1-K5)</f>
        <v>386.458517571757</v>
      </c>
      <c r="AJ52" s="446">
        <f t="shared" ref="AJ52:AJ65" si="11">SUM(AA52:AI52)</f>
        <v>4389.3638764023899</v>
      </c>
      <c r="AK52" s="380"/>
      <c r="AL52" s="413">
        <f>AL31*(1-N5)*(1-R5)</f>
        <v>550.10812362134027</v>
      </c>
      <c r="AM52" s="413">
        <f>AM31*(1-O5)*(1-R5)</f>
        <v>382.49750733523848</v>
      </c>
      <c r="AN52" s="413">
        <f>AN31*(1-P5)</f>
        <v>0.11007956133549728</v>
      </c>
      <c r="AO52" s="413">
        <f>SUM(AK52:AN52)</f>
        <v>932.71571051791432</v>
      </c>
      <c r="AP52" s="382">
        <f>(G52+K52)/((G52+K52)+(Q52+R52))</f>
        <v>0.48298345238707024</v>
      </c>
    </row>
    <row r="53" spans="1:42">
      <c r="A53" s="289" t="s">
        <v>790</v>
      </c>
      <c r="B53" s="356">
        <f>'[2]Key parameters rpt'!O28</f>
        <v>2121852.1582866181</v>
      </c>
      <c r="C53" s="434">
        <f>D53*D51*E53</f>
        <v>11542663555.863373</v>
      </c>
      <c r="D53" s="440">
        <f>B6</f>
        <v>0.6</v>
      </c>
      <c r="E53" s="435">
        <f>C6</f>
        <v>2121852.1582866181</v>
      </c>
      <c r="F53" s="441"/>
      <c r="G53" s="442">
        <f>$B$53*AB53*'[2]EF-1'!$R$5/1000000000000</f>
        <v>1380.5170625413548</v>
      </c>
      <c r="H53" s="442">
        <f>$B$53*AC53*'[2]EF-1'!$R$5/1000000000000</f>
        <v>8972.9626038464066</v>
      </c>
      <c r="I53" s="442">
        <v>0</v>
      </c>
      <c r="K53" s="442">
        <f>$B$53*AF53*'[2]EF-1'!$R$5/1000000000000</f>
        <v>3349.28291636628</v>
      </c>
      <c r="L53" s="442">
        <f>$B$53*AG53*'[2]EF-1'!$R$5/1000000000000</f>
        <v>1673.0482474935366</v>
      </c>
      <c r="M53" s="442">
        <f>$B$53*AH53*'[2]EF-1'!$R$5/1000000000000</f>
        <v>4903.7608838713313</v>
      </c>
      <c r="N53" s="442">
        <f>$B$53*AI53*'[2]EF-1'!$R$5/1000000000000</f>
        <v>2085.0666936977741</v>
      </c>
      <c r="O53" s="366">
        <f>SUM(F53:N53)</f>
        <v>22364.638407816681</v>
      </c>
      <c r="P53" s="443"/>
      <c r="Q53" s="442">
        <f>$B$52*AL53*'[2]EF-1'!$R$5/1000000000000</f>
        <v>4416.5649138316503</v>
      </c>
      <c r="R53" s="442">
        <f>$B$52*AM53*'[2]EF-1'!$R$5/1000000000000</f>
        <v>5109.2473385374842</v>
      </c>
      <c r="S53" s="442">
        <f>$B$52*AN53*'[2]EF-1'!$R$5/1000000000000</f>
        <v>29.939122482373925</v>
      </c>
      <c r="T53" s="444">
        <f>SUM(Q53:S53)*(1-'[2]Key parameters rpt'!O42)-('[2]Key parameters rpt'!O43/4)</f>
        <v>0</v>
      </c>
      <c r="U53" s="365">
        <f>[2]Electricity!$K$6</f>
        <v>8.765039029278613E-3</v>
      </c>
      <c r="V53" s="442">
        <f>O13</f>
        <v>65437.5</v>
      </c>
      <c r="W53" s="443">
        <f>O53*1000000000000*'[2]EF-1'!R6*U53/1000000</f>
        <v>54.451924588949076</v>
      </c>
      <c r="X53" s="442">
        <f>T53*V53/1000000</f>
        <v>0</v>
      </c>
      <c r="Y53" s="368">
        <f>W53+X53</f>
        <v>54.451924588949076</v>
      </c>
      <c r="Z53" s="289" t="s">
        <v>790</v>
      </c>
      <c r="AA53" s="356"/>
      <c r="AB53" s="369">
        <f>AB32*(1-E6)+AL32*(1-N6)*R6</f>
        <v>180.72746506839485</v>
      </c>
      <c r="AC53" s="369">
        <f>AC32*(1-F6)</f>
        <v>1174.6763799944604</v>
      </c>
      <c r="AD53" s="369"/>
      <c r="AE53" s="445"/>
      <c r="AF53" s="369">
        <f>AF32*(1-H6)+AM32*(1-O6)*R6</f>
        <v>438.46427378265446</v>
      </c>
      <c r="AG53" s="369">
        <f t="shared" si="10"/>
        <v>219.02356509090208</v>
      </c>
      <c r="AH53" s="369">
        <f t="shared" si="10"/>
        <v>641.96546199302679</v>
      </c>
      <c r="AI53" s="369">
        <f t="shared" si="10"/>
        <v>272.96208665240584</v>
      </c>
      <c r="AJ53" s="446">
        <f t="shared" si="11"/>
        <v>2927.819232581845</v>
      </c>
      <c r="AK53" s="380"/>
      <c r="AL53" s="413">
        <f>AL32*(1-N6)*(1-R6)</f>
        <v>564.0824342498255</v>
      </c>
      <c r="AM53" s="413">
        <f>AM32*(1-O6)*(1-R6)</f>
        <v>652.55163959682795</v>
      </c>
      <c r="AN53" s="413">
        <f>AN32*(1-P6)</f>
        <v>3.823816341127801</v>
      </c>
      <c r="AO53" s="413">
        <f t="shared" ref="AO53:AO62" si="12">SUM(AK53:AN53)</f>
        <v>1220.4578901877812</v>
      </c>
      <c r="AP53" s="382">
        <f>(G53+K53)/((G53+K53)+(Q53+R53))</f>
        <v>0.33178511748029088</v>
      </c>
    </row>
    <row r="54" spans="1:42">
      <c r="A54" s="256" t="s">
        <v>747</v>
      </c>
      <c r="B54" s="356"/>
      <c r="C54" s="357">
        <f>D54*E54*1000</f>
        <v>53516826.285152346</v>
      </c>
      <c r="D54" s="357">
        <f>D51</f>
        <v>9066.5</v>
      </c>
      <c r="E54" s="446">
        <f>C7</f>
        <v>5.9026996398998897</v>
      </c>
      <c r="F54" s="447"/>
      <c r="G54" s="363">
        <f>$C$54*AB54*'[2]EF-1'!$R$5/1000000000000</f>
        <v>2067.1713509167821</v>
      </c>
      <c r="H54" s="448">
        <f>AC24*1000000*AC54*'[2]EF-1'!$R$5/1000000000000</f>
        <v>28244.939753708004</v>
      </c>
      <c r="I54" s="449">
        <f>AD54*'[2]EF-1'!$R$5/1000000000000*AD24*1000000</f>
        <v>832.42962294705706</v>
      </c>
      <c r="J54" s="450">
        <f>AE24*1000000*AE54*'[2]EF-1'!$R$5/1000000000000</f>
        <v>1189.2606212087583</v>
      </c>
      <c r="K54" s="363">
        <f>$C$54*AF54*'[2]EF-1'!$R$5/1000000000000</f>
        <v>3036.696380813627</v>
      </c>
      <c r="L54" s="363">
        <f>$C$54*AG54*'[2]EF-1'!$R$5/1000000000000</f>
        <v>11159.290529755846</v>
      </c>
      <c r="M54" s="363">
        <f>$C$54*AH54*'[2]EF-1'!$R$5/1000000000000</f>
        <v>4670.916716268116</v>
      </c>
      <c r="N54" s="363">
        <f>$C$54*AI54*'[2]EF-1'!$R$5/1000000000000</f>
        <v>34731.918009954599</v>
      </c>
      <c r="O54" s="368">
        <f>SUM(G54:N54)</f>
        <v>85932.622985572787</v>
      </c>
      <c r="P54" s="362"/>
      <c r="Q54" s="363">
        <f>$C$54*AL54*'[2]EF-1'!$R$7/1000000000000</f>
        <v>4257.6871671890849</v>
      </c>
      <c r="R54" s="363">
        <f>$C$54*AM54*'[2]EF-1'!$R$7/1000000000000</f>
        <v>3193.649227462422</v>
      </c>
      <c r="S54" s="363">
        <f>$C$54*AN54*'[2]EF-1'!$R$7/1000000000000</f>
        <v>2830.7810700472201</v>
      </c>
      <c r="T54" s="444">
        <f>SUM(Q54:S54)*(1-'[2]Key parameters rpt'!O42)-('[2]Key parameters rpt'!O43/4)</f>
        <v>0</v>
      </c>
      <c r="U54" s="365">
        <f>[2]Electricity!$K$6</f>
        <v>8.765039029278613E-3</v>
      </c>
      <c r="V54" s="442">
        <f>O13</f>
        <v>65437.5</v>
      </c>
      <c r="W54" s="443">
        <f>O54*1000000000000*'[2]EF-1'!R6*U54/1000000</f>
        <v>209.22299843245273</v>
      </c>
      <c r="X54" s="442">
        <f>T54*V54/1000000</f>
        <v>0</v>
      </c>
      <c r="Y54" s="368">
        <f>W54+X54</f>
        <v>209.22299843245273</v>
      </c>
      <c r="Z54" s="256" t="s">
        <v>747</v>
      </c>
      <c r="AA54" s="451"/>
      <c r="AB54" s="388">
        <f>AB33*(1-E7)+AL33*(1-N7)*R7</f>
        <v>10.729602332619265</v>
      </c>
      <c r="AC54" s="388">
        <f>AC33*(1-F7)</f>
        <v>160.96794348668774</v>
      </c>
      <c r="AD54" s="388">
        <f t="shared" ref="AD54:AD62" si="13">AC54*(1-$AD$23)</f>
        <v>104.62916326634704</v>
      </c>
      <c r="AE54" s="452">
        <f t="shared" ref="AE54:AE62" si="14">AC54*(1-$AE$23)</f>
        <v>128.77435478935021</v>
      </c>
      <c r="AF54" s="388">
        <f>AF33*(1-H7)+AM33*(1-O7)*R7</f>
        <v>15.761898285105465</v>
      </c>
      <c r="AG54" s="388">
        <f t="shared" si="10"/>
        <v>57.922024531417058</v>
      </c>
      <c r="AH54" s="388">
        <f>AH33*(1-J7)</f>
        <v>24.244278962222445</v>
      </c>
      <c r="AI54" s="388">
        <f>AI33*(1-K7)</f>
        <v>180.27517086606142</v>
      </c>
      <c r="AJ54" s="453">
        <f t="shared" si="11"/>
        <v>683.30443651981057</v>
      </c>
      <c r="AK54" s="389"/>
      <c r="AL54" s="454">
        <f>AL33*(1-N7)*(1-R7)</f>
        <v>2.2355264680257037</v>
      </c>
      <c r="AM54" s="454">
        <f>AM33*(1-O7)*(1-R7)</f>
        <v>1.6768463950571453</v>
      </c>
      <c r="AN54" s="454">
        <f>AN33*(1-P7)</f>
        <v>1.4863200979264535</v>
      </c>
      <c r="AO54" s="454">
        <f t="shared" si="12"/>
        <v>5.3986929610093028</v>
      </c>
      <c r="AP54" s="382">
        <f>(G54+K54)/((G54+K54)+(Q54+R54))</f>
        <v>0.40651411799874987</v>
      </c>
    </row>
    <row r="55" spans="1:42" ht="14.9" hidden="1" customHeight="1">
      <c r="A55" s="289" t="s">
        <v>791</v>
      </c>
      <c r="B55" s="391"/>
      <c r="C55" s="357"/>
      <c r="D55" s="392"/>
      <c r="E55" s="446"/>
      <c r="F55" s="331"/>
      <c r="G55" s="442"/>
      <c r="H55" s="442"/>
      <c r="I55" s="442"/>
      <c r="K55" s="442"/>
      <c r="L55" s="442"/>
      <c r="M55" s="442"/>
      <c r="N55" s="442"/>
      <c r="O55" s="366"/>
      <c r="P55" s="443"/>
      <c r="Q55" s="243"/>
      <c r="R55" s="243"/>
      <c r="S55" s="243"/>
      <c r="T55" s="366">
        <f t="shared" ref="T55:T61" si="15">SUM(Q55:S55)</f>
        <v>0</v>
      </c>
      <c r="U55" s="365">
        <f>[2]Electricity!$K$6</f>
        <v>8.765039029278613E-3</v>
      </c>
      <c r="V55" s="442"/>
      <c r="W55" s="443">
        <f t="shared" ref="W55:W61" si="16">O55*1000000000000*$AI$46*U55/1000000</f>
        <v>0</v>
      </c>
      <c r="X55" s="442"/>
      <c r="Y55" s="368"/>
      <c r="Z55" s="289" t="s">
        <v>791</v>
      </c>
      <c r="AA55" s="455"/>
      <c r="AB55" s="456"/>
      <c r="AC55" s="388">
        <f>AC34*(1-F8)</f>
        <v>0</v>
      </c>
      <c r="AD55" s="388">
        <f t="shared" si="13"/>
        <v>0</v>
      </c>
      <c r="AE55" s="452">
        <f t="shared" si="14"/>
        <v>0</v>
      </c>
      <c r="AF55" s="456"/>
      <c r="AG55" s="388">
        <f>AG34*(1-I8)</f>
        <v>0</v>
      </c>
      <c r="AH55" s="456"/>
      <c r="AI55" s="388">
        <f>AI34*(1-K8)</f>
        <v>0</v>
      </c>
      <c r="AJ55" s="453">
        <f t="shared" si="11"/>
        <v>0</v>
      </c>
      <c r="AK55" s="389"/>
      <c r="AL55" s="454"/>
      <c r="AM55" s="454"/>
      <c r="AN55" s="454"/>
      <c r="AO55" s="454">
        <f t="shared" si="12"/>
        <v>0</v>
      </c>
      <c r="AP55" s="382" t="e">
        <f>(#REF!+J71)/(#REF!+J71+Q55+R55)</f>
        <v>#REF!</v>
      </c>
    </row>
    <row r="56" spans="1:42" ht="14.9" hidden="1" customHeight="1">
      <c r="A56" s="289" t="s">
        <v>792</v>
      </c>
      <c r="B56" s="391"/>
      <c r="C56" s="630"/>
      <c r="D56" s="630"/>
      <c r="E56" s="652"/>
      <c r="F56" s="331"/>
      <c r="G56" s="442"/>
      <c r="H56" s="442"/>
      <c r="I56" s="442"/>
      <c r="K56" s="442"/>
      <c r="L56" s="442"/>
      <c r="M56" s="442"/>
      <c r="N56" s="442"/>
      <c r="O56" s="366"/>
      <c r="P56" s="443"/>
      <c r="Q56" s="243"/>
      <c r="R56" s="243"/>
      <c r="S56" s="243"/>
      <c r="T56" s="366">
        <f t="shared" si="15"/>
        <v>0</v>
      </c>
      <c r="U56" s="365">
        <f>[2]Electricity!$K$6</f>
        <v>8.765039029278613E-3</v>
      </c>
      <c r="V56" s="442"/>
      <c r="W56" s="443">
        <f t="shared" si="16"/>
        <v>0</v>
      </c>
      <c r="X56" s="442"/>
      <c r="Y56" s="368"/>
      <c r="Z56" s="289" t="s">
        <v>792</v>
      </c>
      <c r="AA56" s="455"/>
      <c r="AB56" s="456"/>
      <c r="AC56" s="388" t="e">
        <f>AC35*(1-#REF!)</f>
        <v>#REF!</v>
      </c>
      <c r="AD56" s="388" t="e">
        <f t="shared" si="13"/>
        <v>#REF!</v>
      </c>
      <c r="AE56" s="452" t="e">
        <f t="shared" si="14"/>
        <v>#REF!</v>
      </c>
      <c r="AF56" s="456"/>
      <c r="AG56" s="388" t="e">
        <f>AG35*(1-#REF!)</f>
        <v>#REF!</v>
      </c>
      <c r="AH56" s="456"/>
      <c r="AI56" s="388" t="e">
        <f>AI35*(1-#REF!)</f>
        <v>#REF!</v>
      </c>
      <c r="AJ56" s="453" t="e">
        <f t="shared" si="11"/>
        <v>#REF!</v>
      </c>
      <c r="AK56" s="389"/>
      <c r="AL56" s="454"/>
      <c r="AM56" s="454"/>
      <c r="AN56" s="454"/>
      <c r="AO56" s="454">
        <f t="shared" si="12"/>
        <v>0</v>
      </c>
      <c r="AP56" s="382" t="e">
        <f>(#REF!+J72)/(#REF!+J72+Q56+R56)</f>
        <v>#REF!</v>
      </c>
    </row>
    <row r="57" spans="1:42" ht="14.9" hidden="1" customHeight="1">
      <c r="A57" s="289" t="s">
        <v>793</v>
      </c>
      <c r="B57" s="391"/>
      <c r="C57" s="630"/>
      <c r="D57" s="630"/>
      <c r="E57" s="652"/>
      <c r="F57" s="331"/>
      <c r="G57" s="442"/>
      <c r="H57" s="442"/>
      <c r="I57" s="442"/>
      <c r="K57" s="442"/>
      <c r="L57" s="442"/>
      <c r="M57" s="442"/>
      <c r="N57" s="442"/>
      <c r="O57" s="366"/>
      <c r="P57" s="443"/>
      <c r="Q57" s="243"/>
      <c r="R57" s="243"/>
      <c r="S57" s="243"/>
      <c r="T57" s="366">
        <f t="shared" si="15"/>
        <v>0</v>
      </c>
      <c r="U57" s="365">
        <f>[2]Electricity!$K$6</f>
        <v>8.765039029278613E-3</v>
      </c>
      <c r="V57" s="442"/>
      <c r="W57" s="443">
        <f t="shared" si="16"/>
        <v>0</v>
      </c>
      <c r="X57" s="442"/>
      <c r="Y57" s="368"/>
      <c r="Z57" s="289" t="s">
        <v>793</v>
      </c>
      <c r="AA57" s="455"/>
      <c r="AB57" s="456"/>
      <c r="AC57" s="388">
        <f>AC36*(1-AC48)</f>
        <v>0</v>
      </c>
      <c r="AD57" s="388">
        <f t="shared" si="13"/>
        <v>0</v>
      </c>
      <c r="AE57" s="452">
        <f t="shared" si="14"/>
        <v>0</v>
      </c>
      <c r="AF57" s="456"/>
      <c r="AG57" s="388">
        <f>AG36*(1-AG48)</f>
        <v>0</v>
      </c>
      <c r="AH57" s="456"/>
      <c r="AI57" s="388">
        <f>AI36*(1-AI48)</f>
        <v>0</v>
      </c>
      <c r="AJ57" s="453">
        <f t="shared" si="11"/>
        <v>0</v>
      </c>
      <c r="AK57" s="389"/>
      <c r="AL57" s="454"/>
      <c r="AM57" s="454"/>
      <c r="AN57" s="454"/>
      <c r="AO57" s="454">
        <f t="shared" si="12"/>
        <v>0</v>
      </c>
      <c r="AP57" s="382" t="e">
        <f>('[2]EF-1'!S20+J73)/('[2]EF-1'!S20+J73+Q57+R57)</f>
        <v>#VALUE!</v>
      </c>
    </row>
    <row r="58" spans="1:42" ht="14.9" hidden="1" customHeight="1">
      <c r="A58" s="289" t="s">
        <v>794</v>
      </c>
      <c r="B58" s="391"/>
      <c r="C58" s="630"/>
      <c r="D58" s="630"/>
      <c r="E58" s="652"/>
      <c r="F58" s="331"/>
      <c r="G58" s="442"/>
      <c r="H58" s="442"/>
      <c r="I58" s="442"/>
      <c r="K58" s="442"/>
      <c r="L58" s="442"/>
      <c r="M58" s="442"/>
      <c r="N58" s="442"/>
      <c r="O58" s="366"/>
      <c r="P58" s="443"/>
      <c r="Q58" s="243"/>
      <c r="R58" s="243"/>
      <c r="S58" s="243"/>
      <c r="T58" s="366">
        <f t="shared" si="15"/>
        <v>0</v>
      </c>
      <c r="U58" s="365">
        <f>[2]Electricity!$K$6</f>
        <v>8.765039029278613E-3</v>
      </c>
      <c r="V58" s="442"/>
      <c r="W58" s="443">
        <f t="shared" si="16"/>
        <v>0</v>
      </c>
      <c r="X58" s="442"/>
      <c r="Y58" s="368"/>
      <c r="Z58" s="289" t="s">
        <v>794</v>
      </c>
      <c r="AA58" s="455"/>
      <c r="AB58" s="456"/>
      <c r="AC58" s="388" t="e">
        <f>AC37*(1-AC49)</f>
        <v>#VALUE!</v>
      </c>
      <c r="AD58" s="388" t="e">
        <f t="shared" si="13"/>
        <v>#VALUE!</v>
      </c>
      <c r="AE58" s="452" t="e">
        <f t="shared" si="14"/>
        <v>#VALUE!</v>
      </c>
      <c r="AF58" s="456"/>
      <c r="AG58" s="388" t="e">
        <f>AG37*(1-AG49)</f>
        <v>#VALUE!</v>
      </c>
      <c r="AH58" s="456"/>
      <c r="AI58" s="388" t="e">
        <f>AI37*(1-AI49)</f>
        <v>#VALUE!</v>
      </c>
      <c r="AJ58" s="453" t="e">
        <f t="shared" si="11"/>
        <v>#VALUE!</v>
      </c>
      <c r="AK58" s="389"/>
      <c r="AL58" s="454"/>
      <c r="AM58" s="454"/>
      <c r="AN58" s="454"/>
      <c r="AO58" s="454">
        <f t="shared" si="12"/>
        <v>0</v>
      </c>
      <c r="AP58" s="382" t="e">
        <f>(#REF!+J74)/(#REF!+J74+Q58+R58)</f>
        <v>#REF!</v>
      </c>
    </row>
    <row r="59" spans="1:42" ht="14.9" hidden="1" customHeight="1">
      <c r="A59" s="289" t="s">
        <v>795</v>
      </c>
      <c r="B59" s="391"/>
      <c r="C59" s="630"/>
      <c r="D59" s="630"/>
      <c r="E59" s="652"/>
      <c r="F59" s="331"/>
      <c r="G59" s="442"/>
      <c r="H59" s="442"/>
      <c r="I59" s="442"/>
      <c r="K59" s="442"/>
      <c r="L59" s="442"/>
      <c r="M59" s="442"/>
      <c r="N59" s="442"/>
      <c r="O59" s="366"/>
      <c r="P59" s="443"/>
      <c r="Q59" s="243"/>
      <c r="R59" s="243"/>
      <c r="S59" s="243"/>
      <c r="T59" s="366">
        <f t="shared" si="15"/>
        <v>0</v>
      </c>
      <c r="U59" s="365">
        <f>[2]Electricity!$K$6</f>
        <v>8.765039029278613E-3</v>
      </c>
      <c r="V59" s="442"/>
      <c r="W59" s="443">
        <f t="shared" si="16"/>
        <v>0</v>
      </c>
      <c r="X59" s="442"/>
      <c r="Y59" s="368"/>
      <c r="Z59" s="289" t="s">
        <v>795</v>
      </c>
      <c r="AA59" s="455"/>
      <c r="AB59" s="456"/>
      <c r="AC59" s="388" t="e">
        <f>AC38*(1-AC50)</f>
        <v>#VALUE!</v>
      </c>
      <c r="AD59" s="388" t="e">
        <f t="shared" si="13"/>
        <v>#VALUE!</v>
      </c>
      <c r="AE59" s="452" t="e">
        <f t="shared" si="14"/>
        <v>#VALUE!</v>
      </c>
      <c r="AF59" s="456"/>
      <c r="AG59" s="388" t="e">
        <f>AG38*(1-AG50)</f>
        <v>#VALUE!</v>
      </c>
      <c r="AH59" s="456"/>
      <c r="AI59" s="388" t="e">
        <f>AI38*(1-AI50)</f>
        <v>#VALUE!</v>
      </c>
      <c r="AJ59" s="453" t="e">
        <f t="shared" si="11"/>
        <v>#VALUE!</v>
      </c>
      <c r="AK59" s="389"/>
      <c r="AL59" s="454"/>
      <c r="AM59" s="454"/>
      <c r="AN59" s="454"/>
      <c r="AO59" s="454">
        <f t="shared" si="12"/>
        <v>0</v>
      </c>
      <c r="AP59" s="382" t="e">
        <f>(#REF!+J75)/(#REF!+J75+Q59+R59)</f>
        <v>#REF!</v>
      </c>
    </row>
    <row r="60" spans="1:42" ht="14.9" hidden="1" customHeight="1">
      <c r="A60" s="289" t="s">
        <v>796</v>
      </c>
      <c r="B60" s="391"/>
      <c r="C60" s="630"/>
      <c r="D60" s="630"/>
      <c r="E60" s="652"/>
      <c r="F60" s="331"/>
      <c r="G60" s="442"/>
      <c r="H60" s="442"/>
      <c r="I60" s="442"/>
      <c r="K60" s="442"/>
      <c r="L60" s="442"/>
      <c r="M60" s="442"/>
      <c r="N60" s="442"/>
      <c r="O60" s="366"/>
      <c r="P60" s="443"/>
      <c r="Q60" s="243"/>
      <c r="R60" s="243"/>
      <c r="S60" s="243"/>
      <c r="T60" s="366">
        <f t="shared" si="15"/>
        <v>0</v>
      </c>
      <c r="U60" s="365">
        <f>[2]Electricity!$K$6</f>
        <v>8.765039029278613E-3</v>
      </c>
      <c r="V60" s="442"/>
      <c r="W60" s="443">
        <f t="shared" si="16"/>
        <v>0</v>
      </c>
      <c r="X60" s="442"/>
      <c r="Y60" s="368"/>
      <c r="Z60" s="289" t="s">
        <v>796</v>
      </c>
      <c r="AA60" s="455"/>
      <c r="AB60" s="456"/>
      <c r="AC60" s="388">
        <f>AC39*(1-AC51)</f>
        <v>0</v>
      </c>
      <c r="AD60" s="388">
        <f t="shared" si="13"/>
        <v>0</v>
      </c>
      <c r="AE60" s="452">
        <f t="shared" si="14"/>
        <v>0</v>
      </c>
      <c r="AF60" s="456"/>
      <c r="AG60" s="388">
        <f>AG39*(1-AG51)</f>
        <v>0</v>
      </c>
      <c r="AH60" s="456"/>
      <c r="AI60" s="388">
        <f>AI39*(1-AI51)</f>
        <v>0</v>
      </c>
      <c r="AJ60" s="453">
        <f t="shared" si="11"/>
        <v>0</v>
      </c>
      <c r="AK60" s="389"/>
      <c r="AL60" s="454"/>
      <c r="AM60" s="454"/>
      <c r="AN60" s="454"/>
      <c r="AO60" s="454">
        <f t="shared" si="12"/>
        <v>0</v>
      </c>
      <c r="AP60" s="382" t="e">
        <f>(#REF!+J76)/(#REF!+J76+Q60+R60)</f>
        <v>#REF!</v>
      </c>
    </row>
    <row r="61" spans="1:42" ht="14.9" hidden="1" customHeight="1">
      <c r="A61" s="289" t="s">
        <v>797</v>
      </c>
      <c r="B61" s="391"/>
      <c r="C61" s="630"/>
      <c r="D61" s="630"/>
      <c r="E61" s="652"/>
      <c r="F61" s="331"/>
      <c r="G61" s="442"/>
      <c r="H61" s="442"/>
      <c r="I61" s="442"/>
      <c r="K61" s="442"/>
      <c r="L61" s="442"/>
      <c r="M61" s="442"/>
      <c r="N61" s="442"/>
      <c r="O61" s="366"/>
      <c r="P61" s="443"/>
      <c r="Q61" s="243"/>
      <c r="R61" s="243"/>
      <c r="S61" s="243"/>
      <c r="T61" s="366">
        <f t="shared" si="15"/>
        <v>0</v>
      </c>
      <c r="U61" s="365">
        <f>[2]Electricity!$K$6</f>
        <v>8.765039029278613E-3</v>
      </c>
      <c r="V61" s="442"/>
      <c r="W61" s="443">
        <f t="shared" si="16"/>
        <v>0</v>
      </c>
      <c r="X61" s="442"/>
      <c r="Y61" s="368"/>
      <c r="Z61" s="289" t="s">
        <v>797</v>
      </c>
      <c r="AA61" s="455"/>
      <c r="AB61" s="456"/>
      <c r="AC61" s="388">
        <f>AC40*(1-AC52)</f>
        <v>0</v>
      </c>
      <c r="AD61" s="388">
        <f t="shared" si="13"/>
        <v>0</v>
      </c>
      <c r="AE61" s="452">
        <f t="shared" si="14"/>
        <v>0</v>
      </c>
      <c r="AF61" s="456"/>
      <c r="AG61" s="388">
        <f>AG40*(1-AG52)</f>
        <v>0</v>
      </c>
      <c r="AH61" s="456"/>
      <c r="AI61" s="388">
        <f>AI40*(1-AI52)</f>
        <v>0</v>
      </c>
      <c r="AJ61" s="453">
        <f t="shared" si="11"/>
        <v>0</v>
      </c>
      <c r="AK61" s="389"/>
      <c r="AL61" s="454"/>
      <c r="AM61" s="454"/>
      <c r="AN61" s="454"/>
      <c r="AO61" s="454">
        <f t="shared" si="12"/>
        <v>0</v>
      </c>
      <c r="AP61" s="382" t="e">
        <f>(#REF!+J77)/(#REF!+J77+Q61+R61)</f>
        <v>#REF!</v>
      </c>
    </row>
    <row r="62" spans="1:42">
      <c r="A62" s="256" t="s">
        <v>748</v>
      </c>
      <c r="B62" s="356"/>
      <c r="C62" s="357">
        <f>D62*E62*1000</f>
        <v>33300000</v>
      </c>
      <c r="D62" s="357">
        <f>D51</f>
        <v>9066.5</v>
      </c>
      <c r="E62" s="446">
        <f>C8</f>
        <v>3.6728616334859097</v>
      </c>
      <c r="F62" s="362">
        <f>$C$62*AA62*'[2]EF-1'!$R$5/1000000000000</f>
        <v>5299.3254755187072</v>
      </c>
      <c r="G62" s="363">
        <f>$C$62*AB62*'[2]EF-1'!$R$5/1000000000000</f>
        <v>0</v>
      </c>
      <c r="H62" s="363">
        <f>$C$62*AC62*'[2]EF-1'!$R$5/1000000000000</f>
        <v>3230.0548146642677</v>
      </c>
      <c r="I62" s="363"/>
      <c r="K62" s="363">
        <f>$C$62*AF62*'[2]EF-1'!$R$5/1000000000000</f>
        <v>0</v>
      </c>
      <c r="L62" s="363">
        <f>$C$62*AG62*'[2]EF-1'!$R$5/1000000000000</f>
        <v>838.41689032882812</v>
      </c>
      <c r="M62" s="363">
        <f>$C$62*AH62*'[2]EF-1'!$R$5/1000000000000</f>
        <v>0</v>
      </c>
      <c r="N62" s="363">
        <f>$C$62*AI62*'[2]EF-1'!$R$5/1000000000000</f>
        <v>2180.9513437662513</v>
      </c>
      <c r="O62" s="368">
        <f>SUM(F62:N62)</f>
        <v>11548.748524278055</v>
      </c>
      <c r="P62" s="362">
        <f>$C$62*AK62*'[2]EF-1'!$R$7/1000000000000</f>
        <v>5437.5873776832004</v>
      </c>
      <c r="Q62" s="243"/>
      <c r="R62" s="243"/>
      <c r="S62" s="363">
        <f>$C$62*AN62*'[2]EF-1'!$R$7/1000000000000</f>
        <v>1821.2278006587323</v>
      </c>
      <c r="T62" s="444">
        <f>SUM(P62:S62)*(1-'[2]Key parameters rpt'!O42)-('[2]Key parameters rpt'!O43/4)</f>
        <v>0</v>
      </c>
      <c r="U62" s="365">
        <f>[2]Electricity!$K$6</f>
        <v>8.765039029278613E-3</v>
      </c>
      <c r="V62" s="442">
        <f>O13</f>
        <v>65437.5</v>
      </c>
      <c r="W62" s="443">
        <f>O62*1000000000000*'[2]EF-1'!R6*U62/1000000</f>
        <v>28.11811987628359</v>
      </c>
      <c r="X62" s="442">
        <f>T62*V62/1000000</f>
        <v>0</v>
      </c>
      <c r="Y62" s="368">
        <f>W62+X62</f>
        <v>28.11811987628359</v>
      </c>
      <c r="Z62" s="256" t="s">
        <v>748</v>
      </c>
      <c r="AA62" s="457">
        <f>AA41*(1-D8%)</f>
        <v>44.205250880202762</v>
      </c>
      <c r="AB62" s="456"/>
      <c r="AC62" s="388">
        <f>AC41*(1-F8)</f>
        <v>26.944067523058621</v>
      </c>
      <c r="AD62" s="388">
        <f t="shared" si="13"/>
        <v>17.513643889988103</v>
      </c>
      <c r="AE62" s="452">
        <f t="shared" si="14"/>
        <v>21.555254018446899</v>
      </c>
      <c r="AF62" s="456"/>
      <c r="AG62" s="388">
        <f>AG41*(1-I8)</f>
        <v>6.9938012206275282</v>
      </c>
      <c r="AH62" s="456"/>
      <c r="AI62" s="388">
        <f>AI41*(1-K8)</f>
        <v>18.192787318704131</v>
      </c>
      <c r="AJ62" s="453">
        <f t="shared" si="11"/>
        <v>135.40480485102805</v>
      </c>
      <c r="AK62" s="389">
        <f>AK41*(1-M8)</f>
        <v>4.5883700191845209</v>
      </c>
      <c r="AL62" s="454"/>
      <c r="AM62" s="454"/>
      <c r="AN62" s="454">
        <f>AN41*(1-P8)</f>
        <v>1.5367968288554366</v>
      </c>
      <c r="AO62" s="454">
        <f t="shared" si="12"/>
        <v>6.1251668480399575</v>
      </c>
      <c r="AP62" s="458"/>
    </row>
    <row r="63" spans="1:42" ht="14.9" hidden="1" customHeight="1">
      <c r="A63" s="289" t="s">
        <v>798</v>
      </c>
      <c r="B63" s="356"/>
      <c r="C63" s="645"/>
      <c r="D63" s="357"/>
      <c r="E63" s="446"/>
      <c r="F63" s="331"/>
      <c r="G63" s="243"/>
      <c r="H63" s="243"/>
      <c r="I63" s="243"/>
      <c r="K63" s="243"/>
      <c r="L63" s="243"/>
      <c r="M63" s="243"/>
      <c r="N63" s="243"/>
      <c r="O63" s="395"/>
      <c r="P63" s="289"/>
      <c r="Q63" s="243"/>
      <c r="R63" s="243"/>
      <c r="S63" s="243"/>
      <c r="T63" s="395"/>
      <c r="U63" s="289"/>
      <c r="V63" s="243"/>
      <c r="W63" s="289"/>
      <c r="X63" s="243"/>
      <c r="Y63" s="395"/>
      <c r="Z63" s="289" t="s">
        <v>798</v>
      </c>
      <c r="AA63" s="455"/>
      <c r="AB63" s="456"/>
      <c r="AC63" s="456"/>
      <c r="AD63" s="456"/>
      <c r="AE63" s="459"/>
      <c r="AF63" s="456"/>
      <c r="AG63" s="456"/>
      <c r="AH63" s="456"/>
      <c r="AI63" s="456"/>
      <c r="AJ63" s="453">
        <f t="shared" si="11"/>
        <v>0</v>
      </c>
      <c r="AK63" s="389"/>
      <c r="AL63" s="454"/>
      <c r="AM63" s="454"/>
      <c r="AN63" s="454"/>
      <c r="AO63" s="390"/>
      <c r="AP63" s="458"/>
    </row>
    <row r="64" spans="1:42" ht="14.9" hidden="1" customHeight="1">
      <c r="A64" s="289" t="s">
        <v>799</v>
      </c>
      <c r="B64" s="356"/>
      <c r="C64" s="645"/>
      <c r="D64" s="357"/>
      <c r="E64" s="446"/>
      <c r="F64" s="331"/>
      <c r="G64" s="243"/>
      <c r="H64" s="243"/>
      <c r="I64" s="243"/>
      <c r="K64" s="243"/>
      <c r="L64" s="243"/>
      <c r="M64" s="243"/>
      <c r="N64" s="243"/>
      <c r="O64" s="395"/>
      <c r="P64" s="289"/>
      <c r="Q64" s="243"/>
      <c r="R64" s="243"/>
      <c r="S64" s="243"/>
      <c r="T64" s="395"/>
      <c r="U64" s="289"/>
      <c r="V64" s="243"/>
      <c r="W64" s="289"/>
      <c r="X64" s="243"/>
      <c r="Y64" s="395"/>
      <c r="Z64" s="289" t="s">
        <v>799</v>
      </c>
      <c r="AA64" s="455"/>
      <c r="AB64" s="456"/>
      <c r="AC64" s="456"/>
      <c r="AD64" s="456"/>
      <c r="AE64" s="459"/>
      <c r="AF64" s="456"/>
      <c r="AG64" s="456"/>
      <c r="AH64" s="456"/>
      <c r="AI64" s="456"/>
      <c r="AJ64" s="453">
        <f t="shared" si="11"/>
        <v>0</v>
      </c>
      <c r="AK64" s="389"/>
      <c r="AL64" s="454"/>
      <c r="AM64" s="454"/>
      <c r="AN64" s="454"/>
      <c r="AO64" s="390"/>
      <c r="AP64" s="458"/>
    </row>
    <row r="65" spans="1:42" ht="14.9" hidden="1" customHeight="1">
      <c r="A65" s="289" t="s">
        <v>800</v>
      </c>
      <c r="B65" s="356"/>
      <c r="C65" s="357"/>
      <c r="D65" s="357"/>
      <c r="E65" s="446"/>
      <c r="F65" s="331"/>
      <c r="G65" s="243"/>
      <c r="H65" s="243"/>
      <c r="I65" s="243"/>
      <c r="K65" s="243"/>
      <c r="L65" s="243"/>
      <c r="M65" s="243"/>
      <c r="N65" s="243"/>
      <c r="O65" s="395"/>
      <c r="P65" s="289"/>
      <c r="Q65" s="243"/>
      <c r="R65" s="243"/>
      <c r="S65" s="243"/>
      <c r="T65" s="395"/>
      <c r="U65" s="289"/>
      <c r="V65" s="243"/>
      <c r="W65" s="289"/>
      <c r="X65" s="243"/>
      <c r="Y65" s="395"/>
      <c r="Z65" s="289" t="s">
        <v>800</v>
      </c>
      <c r="AA65" s="455"/>
      <c r="AB65" s="456"/>
      <c r="AC65" s="456"/>
      <c r="AD65" s="456"/>
      <c r="AE65" s="459"/>
      <c r="AF65" s="456"/>
      <c r="AG65" s="456"/>
      <c r="AH65" s="456"/>
      <c r="AI65" s="456"/>
      <c r="AJ65" s="453">
        <f t="shared" si="11"/>
        <v>0</v>
      </c>
      <c r="AK65" s="389"/>
      <c r="AL65" s="454"/>
      <c r="AM65" s="454"/>
      <c r="AN65" s="454"/>
      <c r="AO65" s="390"/>
      <c r="AP65" s="458"/>
    </row>
    <row r="66" spans="1:42" s="273" customFormat="1">
      <c r="A66" s="401" t="s">
        <v>802</v>
      </c>
      <c r="B66" s="402">
        <f>(B51+B54+B62)</f>
        <v>4296753.4008807326</v>
      </c>
      <c r="C66" s="403">
        <f>(C51+C54+C62)</f>
        <v>19516977228.54034</v>
      </c>
      <c r="D66" s="403">
        <f>(D51)</f>
        <v>9066.5</v>
      </c>
      <c r="E66" s="405">
        <f>(E51+E54+E62)</f>
        <v>2152.6473532830018</v>
      </c>
      <c r="F66" s="402">
        <f t="shared" ref="F66:S66" si="17">(F51+F54+F62)</f>
        <v>5299.3254755187072</v>
      </c>
      <c r="G66" s="403">
        <f t="shared" si="17"/>
        <v>5238.3201117448461</v>
      </c>
      <c r="H66" s="403">
        <f>(H51+H54+H62)</f>
        <v>56133.335614575124</v>
      </c>
      <c r="I66" s="403">
        <f t="shared" si="17"/>
        <v>832.42962294705706</v>
      </c>
      <c r="J66" s="403">
        <f t="shared" si="17"/>
        <v>1189.2606212087583</v>
      </c>
      <c r="K66" s="403">
        <f t="shared" si="17"/>
        <v>11416.659120354554</v>
      </c>
      <c r="L66" s="403">
        <f t="shared" si="17"/>
        <v>16530.849110780749</v>
      </c>
      <c r="M66" s="403">
        <f t="shared" si="17"/>
        <v>15549.220013185688</v>
      </c>
      <c r="N66" s="403">
        <f t="shared" si="17"/>
        <v>42023.768843699043</v>
      </c>
      <c r="O66" s="405">
        <f>(O51+O54+O62)</f>
        <v>154213.16853401452</v>
      </c>
      <c r="P66" s="402">
        <f t="shared" si="17"/>
        <v>5437.5873776832004</v>
      </c>
      <c r="Q66" s="403">
        <f t="shared" si="17"/>
        <v>12981.403110871346</v>
      </c>
      <c r="R66" s="403">
        <f t="shared" si="17"/>
        <v>11297.716060373128</v>
      </c>
      <c r="S66" s="403">
        <f t="shared" si="17"/>
        <v>4682.8098770173647</v>
      </c>
      <c r="T66" s="460">
        <f>(T51+T54+T62)</f>
        <v>0</v>
      </c>
      <c r="U66" s="402">
        <f>(O12+U54+U62)</f>
        <v>2.6295117087835839E-2</v>
      </c>
      <c r="V66" s="403">
        <f>(O13+V54+V62)</f>
        <v>196312.5</v>
      </c>
      <c r="W66" s="402">
        <f>(W51+W54+W62)</f>
        <v>375.46790028593261</v>
      </c>
      <c r="X66" s="403">
        <f>(X51+X54+X62)</f>
        <v>0</v>
      </c>
      <c r="Y66" s="405">
        <f>(Y51+Y54+Y62)</f>
        <v>375.46790028593261</v>
      </c>
      <c r="Z66" s="401" t="s">
        <v>802</v>
      </c>
      <c r="AA66" s="402"/>
      <c r="AB66" s="403"/>
      <c r="AC66" s="403"/>
      <c r="AD66" s="403"/>
      <c r="AE66" s="461"/>
      <c r="AF66" s="403"/>
      <c r="AG66" s="403"/>
      <c r="AH66" s="403"/>
      <c r="AI66" s="403"/>
      <c r="AJ66" s="405"/>
      <c r="AK66" s="407"/>
      <c r="AL66" s="408"/>
      <c r="AM66" s="408"/>
      <c r="AN66" s="408"/>
      <c r="AO66" s="408"/>
      <c r="AP66" s="410"/>
    </row>
    <row r="67" spans="1:42">
      <c r="F67" s="216"/>
      <c r="AI67" s="462"/>
      <c r="AJ67" s="462"/>
      <c r="AK67" s="462"/>
      <c r="AL67" s="462"/>
      <c r="AM67" s="462"/>
    </row>
    <row r="68" spans="1:42">
      <c r="B68" s="216"/>
      <c r="C68" s="216"/>
      <c r="F68" s="216"/>
      <c r="G68" s="437"/>
      <c r="M68" s="437"/>
      <c r="N68" s="463"/>
      <c r="S68" s="437"/>
    </row>
    <row r="69" spans="1:42">
      <c r="M69" s="463"/>
      <c r="N69" s="464"/>
      <c r="O69" s="437"/>
      <c r="P69" s="464"/>
      <c r="AA69" s="465"/>
    </row>
    <row r="70" spans="1:42">
      <c r="J70" s="437"/>
      <c r="K70" s="437"/>
      <c r="M70" s="437"/>
      <c r="N70" s="463"/>
      <c r="O70" s="437"/>
    </row>
    <row r="71" spans="1:42">
      <c r="O71" s="437"/>
    </row>
    <row r="85" spans="30:30">
      <c r="AD85" s="466"/>
    </row>
  </sheetData>
  <mergeCells count="21">
    <mergeCell ref="C63:C64"/>
    <mergeCell ref="C42:C43"/>
    <mergeCell ref="A48:A50"/>
    <mergeCell ref="B48:E48"/>
    <mergeCell ref="F48:O48"/>
    <mergeCell ref="C56:C61"/>
    <mergeCell ref="D56:D61"/>
    <mergeCell ref="E56:E61"/>
    <mergeCell ref="W3:X3"/>
    <mergeCell ref="Z24:AB24"/>
    <mergeCell ref="A27:A29"/>
    <mergeCell ref="B27:E27"/>
    <mergeCell ref="C35:C40"/>
    <mergeCell ref="D35:D40"/>
    <mergeCell ref="E35:E40"/>
    <mergeCell ref="A2:A3"/>
    <mergeCell ref="B2:B3"/>
    <mergeCell ref="C2:C3"/>
    <mergeCell ref="D2:L2"/>
    <mergeCell ref="M2:Q2"/>
    <mergeCell ref="R2:R3"/>
  </mergeCells>
  <phoneticPr fontId="3" type="noConversion"/>
  <hyperlinks>
    <hyperlink ref="Z21" r:id="rId1" xr:uid="{00000000-0004-0000-0D00-000000000000}"/>
  </hyperlinks>
  <pageMargins left="0.23622047244094491" right="0.23622047244094491" top="0.74803149606299213" bottom="0.74803149606299213" header="0.31496062992125984" footer="0.31496062992125984"/>
  <pageSetup paperSize="8" scale="69" orientation="landscape" r:id="rId2"/>
  <colBreaks count="1" manualBreakCount="1">
    <brk id="24" max="64" man="1"/>
  </colBreaks>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A1:BO50"/>
  <sheetViews>
    <sheetView zoomScaleNormal="90" workbookViewId="0">
      <pane xSplit="1" ySplit="1" topLeftCell="E2" activePane="bottomRight" state="frozen"/>
      <selection pane="topRight" activeCell="B1" sqref="B1"/>
      <selection pane="bottomLeft" activeCell="A2" sqref="A2"/>
      <selection pane="bottomRight" activeCell="L14" sqref="L14"/>
    </sheetView>
  </sheetViews>
  <sheetFormatPr defaultColWidth="8.7265625" defaultRowHeight="14.5"/>
  <cols>
    <col min="3" max="3" width="15.453125" customWidth="1"/>
    <col min="4" max="4" width="14.7265625" customWidth="1"/>
    <col min="5" max="6" width="13.7265625" customWidth="1"/>
    <col min="8" max="8" width="11.1796875" customWidth="1"/>
    <col min="10" max="10" width="8.7265625" bestFit="1" customWidth="1"/>
    <col min="11" max="11" width="9.453125" bestFit="1" customWidth="1"/>
    <col min="12" max="12" width="8.7265625" bestFit="1" customWidth="1"/>
    <col min="13" max="13" width="2.7265625" customWidth="1"/>
    <col min="25" max="25" width="11.7265625" bestFit="1" customWidth="1"/>
    <col min="26" max="26" width="16.7265625" customWidth="1"/>
    <col min="27" max="27" width="10.81640625" bestFit="1" customWidth="1"/>
    <col min="28" max="28" width="17" customWidth="1"/>
    <col min="30" max="30" width="13.7265625" customWidth="1"/>
    <col min="31" max="31" width="15.81640625" customWidth="1"/>
    <col min="38" max="38" width="10.453125" bestFit="1" customWidth="1"/>
    <col min="39" max="39" width="9.81640625" bestFit="1" customWidth="1"/>
    <col min="40" max="40" width="13.26953125" bestFit="1" customWidth="1"/>
    <col min="41" max="41" width="14.453125" bestFit="1" customWidth="1"/>
    <col min="48" max="48" width="16.7265625" customWidth="1"/>
    <col min="49" max="49" width="15.7265625" bestFit="1" customWidth="1"/>
    <col min="50" max="50" width="13.7265625" customWidth="1"/>
    <col min="51" max="51" width="17.1796875" customWidth="1"/>
    <col min="56" max="56" width="19.453125" customWidth="1"/>
    <col min="57" max="57" width="11.7265625" customWidth="1"/>
    <col min="60" max="60" width="10.26953125" customWidth="1"/>
    <col min="61" max="61" width="14.26953125" customWidth="1"/>
    <col min="62" max="62" width="14.7265625" customWidth="1"/>
    <col min="65" max="65" width="8.7265625" customWidth="1"/>
    <col min="67" max="67" width="13.7265625" customWidth="1"/>
  </cols>
  <sheetData>
    <row r="1" spans="1:67" ht="29">
      <c r="A1" s="54" t="s">
        <v>704</v>
      </c>
      <c r="B1" s="566" t="s">
        <v>808</v>
      </c>
      <c r="C1" s="167" t="s">
        <v>809</v>
      </c>
      <c r="D1" s="167" t="s">
        <v>810</v>
      </c>
      <c r="E1" s="167" t="s">
        <v>811</v>
      </c>
      <c r="F1" s="167" t="s">
        <v>812</v>
      </c>
      <c r="G1" s="167" t="s">
        <v>813</v>
      </c>
      <c r="H1" s="167" t="s">
        <v>814</v>
      </c>
      <c r="I1" s="167" t="s">
        <v>815</v>
      </c>
      <c r="J1" s="54" t="s">
        <v>816</v>
      </c>
      <c r="K1" s="54" t="s">
        <v>817</v>
      </c>
      <c r="L1" s="54" t="s">
        <v>818</v>
      </c>
      <c r="N1" s="54" t="s">
        <v>819</v>
      </c>
      <c r="T1" s="54" t="s">
        <v>704</v>
      </c>
      <c r="U1" s="208" t="s">
        <v>820</v>
      </c>
      <c r="V1" s="209" t="s">
        <v>821</v>
      </c>
      <c r="W1" s="209" t="s">
        <v>822</v>
      </c>
      <c r="X1" s="209" t="s">
        <v>823</v>
      </c>
      <c r="Y1" s="209" t="s">
        <v>824</v>
      </c>
      <c r="Z1" s="209" t="s">
        <v>825</v>
      </c>
      <c r="AA1" s="209" t="s">
        <v>826</v>
      </c>
      <c r="AB1" s="209" t="s">
        <v>827</v>
      </c>
      <c r="AC1" s="209" t="s">
        <v>828</v>
      </c>
      <c r="AD1" s="209" t="s">
        <v>829</v>
      </c>
      <c r="AE1" s="210" t="s">
        <v>830</v>
      </c>
      <c r="AF1" s="211" t="s">
        <v>831</v>
      </c>
      <c r="AG1" s="211" t="s">
        <v>832</v>
      </c>
      <c r="AH1" s="211" t="s">
        <v>833</v>
      </c>
      <c r="AI1" s="211" t="s">
        <v>834</v>
      </c>
      <c r="AJ1" s="211" t="s">
        <v>835</v>
      </c>
      <c r="AL1" s="470" t="s">
        <v>836</v>
      </c>
      <c r="AM1" s="471" t="s">
        <v>837</v>
      </c>
      <c r="AN1" s="471" t="s">
        <v>833</v>
      </c>
      <c r="AO1" s="472" t="s">
        <v>834</v>
      </c>
    </row>
    <row r="2" spans="1:67" ht="43" customHeight="1">
      <c r="A2">
        <v>2005</v>
      </c>
      <c r="B2" s="467">
        <v>6.8132000000000001</v>
      </c>
      <c r="C2" s="467">
        <f t="shared" ref="C2:C11" si="0">TREND($C$49:$C$50,$A$49:$A$50,$A2)</f>
        <v>4.2084595058823595</v>
      </c>
      <c r="D2" s="467">
        <f t="shared" ref="D2:D11" si="1">TREND($D$49:$D$50,$A$49:$A$50,$A2)</f>
        <v>2.7102028764705892</v>
      </c>
      <c r="G2" s="55">
        <v>196.28290661555027</v>
      </c>
      <c r="H2" s="55">
        <v>28.809209566070319</v>
      </c>
      <c r="I2" s="55">
        <v>2.1970999999999998</v>
      </c>
      <c r="J2" s="102">
        <v>3.1823114754098398</v>
      </c>
      <c r="K2" s="102">
        <v>95.573849999999993</v>
      </c>
      <c r="L2" s="102">
        <v>42.557142857142935</v>
      </c>
      <c r="N2" t="s">
        <v>808</v>
      </c>
      <c r="O2" t="s">
        <v>838</v>
      </c>
      <c r="T2">
        <v>2005</v>
      </c>
      <c r="U2" s="209"/>
      <c r="V2" s="209"/>
      <c r="W2" s="209"/>
      <c r="X2" s="209"/>
      <c r="Y2" s="209"/>
      <c r="Z2" s="468" t="s">
        <v>839</v>
      </c>
      <c r="AA2" s="209"/>
      <c r="AB2" s="468" t="s">
        <v>840</v>
      </c>
      <c r="AC2" s="209"/>
      <c r="AD2" s="209"/>
      <c r="AE2" s="210" t="s">
        <v>841</v>
      </c>
      <c r="AF2" s="211"/>
      <c r="AG2" s="211"/>
      <c r="AH2" s="211"/>
      <c r="AI2" s="211"/>
      <c r="AJ2" s="211"/>
      <c r="AL2" s="473"/>
      <c r="AM2" s="211"/>
      <c r="AN2" s="211"/>
      <c r="AO2" s="474"/>
    </row>
    <row r="3" spans="1:67">
      <c r="A3">
        <v>2006</v>
      </c>
      <c r="B3" s="467">
        <v>6.8571</v>
      </c>
      <c r="C3" s="467">
        <f t="shared" si="0"/>
        <v>4.1900344235294185</v>
      </c>
      <c r="D3" s="467">
        <f t="shared" si="1"/>
        <v>2.762620505882353</v>
      </c>
      <c r="G3" s="55">
        <v>210.08695475935278</v>
      </c>
      <c r="H3" s="55">
        <v>30.637872389108043</v>
      </c>
      <c r="I3" s="55">
        <v>2.2208999999999999</v>
      </c>
      <c r="J3" s="102">
        <v>3.1695081967213135</v>
      </c>
      <c r="K3" s="102">
        <v>96.60915</v>
      </c>
      <c r="L3" s="102">
        <v>43.285714285714448</v>
      </c>
      <c r="N3" t="s">
        <v>813</v>
      </c>
      <c r="O3" t="s">
        <v>842</v>
      </c>
      <c r="T3">
        <v>2006</v>
      </c>
      <c r="V3" s="62">
        <v>53982</v>
      </c>
      <c r="W3" s="93">
        <f t="shared" ref="W3:W13" si="2">V3/I3/1000</f>
        <v>24.30636228555991</v>
      </c>
      <c r="X3" s="93">
        <f>V3/B3/1000</f>
        <v>7.872424202651267</v>
      </c>
      <c r="Y3" s="469">
        <f>'Private,Public8EndUse'!S6</f>
        <v>26211</v>
      </c>
      <c r="Z3" s="93">
        <f>Y3/C3</f>
        <v>6255.5571984827566</v>
      </c>
      <c r="AA3" s="469">
        <f>'Private,Public8EndUse'!AC6</f>
        <v>24967</v>
      </c>
      <c r="AB3" s="93">
        <f>AA3/D3</f>
        <v>9037.4338230092126</v>
      </c>
      <c r="AC3" s="62">
        <v>111884</v>
      </c>
      <c r="AD3" s="93">
        <f t="shared" ref="AD3:AD13" si="3">AC3/L3/1000</f>
        <v>2.5847788778877789</v>
      </c>
      <c r="AF3" s="98">
        <v>53982</v>
      </c>
      <c r="AG3" s="98">
        <v>111884</v>
      </c>
      <c r="AH3" s="98">
        <v>53982</v>
      </c>
      <c r="AI3" s="98">
        <v>111884</v>
      </c>
      <c r="AJ3" s="1">
        <f>(AI3-AG3)/AG3</f>
        <v>0</v>
      </c>
      <c r="AL3" s="475">
        <f>Y3</f>
        <v>26211</v>
      </c>
      <c r="AM3" s="113">
        <f>AA3</f>
        <v>24967</v>
      </c>
      <c r="AN3" s="56">
        <f>SUM(AL3:AM3)</f>
        <v>51178</v>
      </c>
      <c r="AO3" s="476">
        <f>AI3</f>
        <v>111884</v>
      </c>
    </row>
    <row r="4" spans="1:67">
      <c r="A4">
        <v>2007</v>
      </c>
      <c r="B4" s="467">
        <v>6.9163000000000006</v>
      </c>
      <c r="C4" s="467">
        <f t="shared" si="0"/>
        <v>4.1716093411764774</v>
      </c>
      <c r="D4" s="467">
        <f t="shared" si="1"/>
        <v>2.8150381352941167</v>
      </c>
      <c r="G4" s="55">
        <v>223.66872639495065</v>
      </c>
      <c r="H4" s="55">
        <v>32.339361565425243</v>
      </c>
      <c r="I4" s="55">
        <v>2.2499000000000002</v>
      </c>
      <c r="J4" s="102">
        <v>3.1567049180327906</v>
      </c>
      <c r="K4" s="102">
        <v>97.870650000000012</v>
      </c>
      <c r="L4" s="102">
        <v>44.014285714285734</v>
      </c>
      <c r="N4" t="s">
        <v>843</v>
      </c>
      <c r="O4" t="s">
        <v>844</v>
      </c>
      <c r="T4">
        <v>2007</v>
      </c>
      <c r="V4" s="62">
        <v>54717</v>
      </c>
      <c r="W4" s="93">
        <f t="shared" si="2"/>
        <v>24.3197475443353</v>
      </c>
      <c r="X4" s="93">
        <f t="shared" ref="X4:X13" si="4">V4/B4/1000</f>
        <v>7.9113109610629957</v>
      </c>
      <c r="Y4" s="469">
        <f>'Private,Public8EndUse'!S7</f>
        <v>26733</v>
      </c>
      <c r="Z4" s="93">
        <f t="shared" ref="Z4:Z18" si="5">Y4/C4</f>
        <v>6408.3181845740037</v>
      </c>
      <c r="AA4" s="469">
        <f>'Private,Public8EndUse'!AC7</f>
        <v>25185</v>
      </c>
      <c r="AB4" s="93">
        <f t="shared" ref="AB4:AB18" si="6">AA4/D4</f>
        <v>8946.5928309239971</v>
      </c>
      <c r="AC4" s="62">
        <v>113914</v>
      </c>
      <c r="AD4" s="93">
        <f t="shared" si="3"/>
        <v>2.5881142486205766</v>
      </c>
      <c r="AF4" s="98">
        <v>54717</v>
      </c>
      <c r="AG4" s="98">
        <v>113914</v>
      </c>
      <c r="AH4" s="98">
        <v>54717</v>
      </c>
      <c r="AI4" s="98">
        <v>113914</v>
      </c>
      <c r="AJ4" s="1">
        <f t="shared" ref="AJ4:AJ47" si="7">(AI4-AG4)/AG4</f>
        <v>0</v>
      </c>
      <c r="AL4" s="475">
        <f t="shared" ref="AL4:AL47" si="8">Y4</f>
        <v>26733</v>
      </c>
      <c r="AM4" s="113">
        <f t="shared" ref="AM4:AM47" si="9">AA4</f>
        <v>25185</v>
      </c>
      <c r="AN4" s="56">
        <f t="shared" ref="AN4:AN47" si="10">SUM(AL4:AM4)</f>
        <v>51918</v>
      </c>
      <c r="AO4" s="476">
        <f t="shared" ref="AO4:AO47" si="11">AI4</f>
        <v>113914</v>
      </c>
    </row>
    <row r="5" spans="1:67">
      <c r="A5">
        <v>2008</v>
      </c>
      <c r="B5" s="467">
        <v>6.9577999999999998</v>
      </c>
      <c r="C5" s="467">
        <f t="shared" si="0"/>
        <v>4.1531842588235364</v>
      </c>
      <c r="D5" s="467">
        <f t="shared" si="1"/>
        <v>2.8674557647058805</v>
      </c>
      <c r="G5" s="55">
        <v>228.42826443840249</v>
      </c>
      <c r="H5" s="55">
        <v>32.830530403058795</v>
      </c>
      <c r="I5" s="55">
        <v>2.2791000000000001</v>
      </c>
      <c r="J5" s="102">
        <v>3.1439016393442643</v>
      </c>
      <c r="K5" s="102">
        <v>99.14085</v>
      </c>
      <c r="L5" s="102">
        <v>44.742857142857247</v>
      </c>
      <c r="N5" t="s">
        <v>815</v>
      </c>
      <c r="O5" t="s">
        <v>845</v>
      </c>
      <c r="T5">
        <v>2008</v>
      </c>
      <c r="V5" s="62">
        <v>55849</v>
      </c>
      <c r="W5" s="93">
        <f t="shared" si="2"/>
        <v>24.504848405072174</v>
      </c>
      <c r="X5" s="93">
        <f t="shared" si="4"/>
        <v>8.0268188220414505</v>
      </c>
      <c r="Y5" s="469">
        <f>'Private,Public8EndUse'!S8</f>
        <v>27701</v>
      </c>
      <c r="Z5" s="93">
        <f t="shared" si="5"/>
        <v>6669.8220627097344</v>
      </c>
      <c r="AA5" s="469">
        <f>'Private,Public8EndUse'!AC8</f>
        <v>25533</v>
      </c>
      <c r="AB5" s="93">
        <f t="shared" si="6"/>
        <v>8904.4093772163069</v>
      </c>
      <c r="AC5" s="62">
        <v>113753</v>
      </c>
      <c r="AD5" s="93">
        <f t="shared" si="3"/>
        <v>2.5423722860791766</v>
      </c>
      <c r="AF5" s="98">
        <v>55849</v>
      </c>
      <c r="AG5" s="98">
        <v>113753</v>
      </c>
      <c r="AH5" s="98">
        <v>55849</v>
      </c>
      <c r="AI5" s="98">
        <v>113753</v>
      </c>
      <c r="AJ5" s="1">
        <f t="shared" si="7"/>
        <v>0</v>
      </c>
      <c r="AL5" s="475">
        <f t="shared" si="8"/>
        <v>27701</v>
      </c>
      <c r="AM5" s="113">
        <f t="shared" si="9"/>
        <v>25533</v>
      </c>
      <c r="AN5" s="56">
        <f t="shared" si="10"/>
        <v>53234</v>
      </c>
      <c r="AO5" s="476">
        <f t="shared" si="11"/>
        <v>113753</v>
      </c>
    </row>
    <row r="6" spans="1:67">
      <c r="A6">
        <v>2009</v>
      </c>
      <c r="B6" s="467">
        <v>6.9728000000000003</v>
      </c>
      <c r="C6" s="467">
        <f t="shared" si="0"/>
        <v>4.1347591764705953</v>
      </c>
      <c r="D6" s="467">
        <f t="shared" si="1"/>
        <v>2.9198733941176442</v>
      </c>
      <c r="G6" s="55">
        <v>222.81110013156828</v>
      </c>
      <c r="H6" s="55">
        <v>31.954322529194627</v>
      </c>
      <c r="I6" s="55">
        <v>2.2971999999999997</v>
      </c>
      <c r="J6" s="102">
        <v>3.1310983606557414</v>
      </c>
      <c r="K6" s="102">
        <v>99.92819999999999</v>
      </c>
      <c r="L6" s="102">
        <v>45.471428571428532</v>
      </c>
      <c r="N6" t="s">
        <v>846</v>
      </c>
      <c r="O6" t="s">
        <v>847</v>
      </c>
      <c r="T6">
        <v>2009</v>
      </c>
      <c r="V6" s="62">
        <v>57731</v>
      </c>
      <c r="W6" s="93">
        <f t="shared" si="2"/>
        <v>25.131029078878637</v>
      </c>
      <c r="X6" s="93">
        <f t="shared" si="4"/>
        <v>8.2794573198715007</v>
      </c>
      <c r="Y6" s="469">
        <f>'Private,Public8EndUse'!S9</f>
        <v>28544</v>
      </c>
      <c r="Z6" s="93">
        <f t="shared" si="5"/>
        <v>6903.4250319664279</v>
      </c>
      <c r="AA6" s="469">
        <f>'Private,Public8EndUse'!AC9</f>
        <v>26068</v>
      </c>
      <c r="AB6" s="93">
        <f t="shared" si="6"/>
        <v>8927.7843527450204</v>
      </c>
      <c r="AC6" s="62">
        <v>114297</v>
      </c>
      <c r="AD6" s="93">
        <f t="shared" si="3"/>
        <v>2.5136003770028297</v>
      </c>
      <c r="AF6" s="98">
        <v>57731</v>
      </c>
      <c r="AG6" s="98">
        <v>114297</v>
      </c>
      <c r="AH6" s="98">
        <v>57731</v>
      </c>
      <c r="AI6" s="98">
        <v>114297</v>
      </c>
      <c r="AJ6" s="1">
        <f t="shared" si="7"/>
        <v>0</v>
      </c>
      <c r="AL6" s="475">
        <f t="shared" si="8"/>
        <v>28544</v>
      </c>
      <c r="AM6" s="113">
        <f t="shared" si="9"/>
        <v>26068</v>
      </c>
      <c r="AN6" s="56">
        <f t="shared" si="10"/>
        <v>54612</v>
      </c>
      <c r="AO6" s="476">
        <f t="shared" si="11"/>
        <v>114297</v>
      </c>
    </row>
    <row r="7" spans="1:67">
      <c r="A7">
        <v>2010</v>
      </c>
      <c r="B7" s="467">
        <v>7.0241999999999996</v>
      </c>
      <c r="C7" s="467">
        <f t="shared" si="0"/>
        <v>4.1163340941176543</v>
      </c>
      <c r="D7" s="467">
        <f t="shared" si="1"/>
        <v>2.972291023529408</v>
      </c>
      <c r="G7" s="55">
        <v>237.89024818360531</v>
      </c>
      <c r="H7" s="55">
        <v>33.86723729159268</v>
      </c>
      <c r="I7" s="55">
        <v>2.3250999999999999</v>
      </c>
      <c r="J7" s="102">
        <v>3.1182950819672151</v>
      </c>
      <c r="K7" s="102">
        <v>101.14184999999999</v>
      </c>
      <c r="L7" s="102">
        <v>46.200000000000045</v>
      </c>
      <c r="N7" t="s">
        <v>816</v>
      </c>
      <c r="O7" t="s">
        <v>848</v>
      </c>
      <c r="T7">
        <v>2010</v>
      </c>
      <c r="V7" s="62">
        <v>58396</v>
      </c>
      <c r="W7" s="93">
        <f t="shared" si="2"/>
        <v>25.115478904133155</v>
      </c>
      <c r="X7" s="93">
        <f t="shared" si="4"/>
        <v>8.3135446029441074</v>
      </c>
      <c r="Y7" s="469">
        <f>'Private,Public8EndUse'!S10</f>
        <v>28730</v>
      </c>
      <c r="Z7" s="93">
        <f t="shared" si="5"/>
        <v>6979.5112211751466</v>
      </c>
      <c r="AA7" s="469">
        <f>'Private,Public8EndUse'!AC10</f>
        <v>16152</v>
      </c>
      <c r="AB7" s="93">
        <f t="shared" si="6"/>
        <v>5434.1919657720864</v>
      </c>
      <c r="AC7" s="62">
        <v>116391</v>
      </c>
      <c r="AD7" s="93">
        <f t="shared" si="3"/>
        <v>2.5192857142857119</v>
      </c>
      <c r="AF7" s="98">
        <v>58396</v>
      </c>
      <c r="AG7" s="98">
        <v>116391</v>
      </c>
      <c r="AH7" s="98">
        <v>58396</v>
      </c>
      <c r="AI7" s="98">
        <v>116391</v>
      </c>
      <c r="AJ7" s="1">
        <f t="shared" si="7"/>
        <v>0</v>
      </c>
      <c r="AL7" s="475">
        <f t="shared" si="8"/>
        <v>28730</v>
      </c>
      <c r="AM7" s="113">
        <f t="shared" si="9"/>
        <v>16152</v>
      </c>
      <c r="AN7" s="56">
        <f t="shared" si="10"/>
        <v>44882</v>
      </c>
      <c r="AO7" s="476">
        <f t="shared" si="11"/>
        <v>116391</v>
      </c>
      <c r="AR7" s="54" t="s">
        <v>849</v>
      </c>
    </row>
    <row r="8" spans="1:67">
      <c r="A8">
        <v>2011</v>
      </c>
      <c r="B8" s="467">
        <v>7.0716000000000001</v>
      </c>
      <c r="C8" s="467">
        <f t="shared" si="0"/>
        <v>4.0979090117647132</v>
      </c>
      <c r="D8" s="467">
        <f t="shared" si="1"/>
        <v>3.0247086529411717</v>
      </c>
      <c r="G8" s="55">
        <v>249.34391970689373</v>
      </c>
      <c r="H8" s="55">
        <v>35.259901536695189</v>
      </c>
      <c r="I8" s="55">
        <v>2.3593000000000002</v>
      </c>
      <c r="J8" s="102">
        <v>3.1054918032786922</v>
      </c>
      <c r="K8" s="102">
        <v>102.62955000000001</v>
      </c>
      <c r="L8" s="102">
        <v>46.370000000000005</v>
      </c>
      <c r="N8" t="s">
        <v>817</v>
      </c>
      <c r="O8" t="s">
        <v>850</v>
      </c>
      <c r="T8">
        <v>2011</v>
      </c>
      <c r="V8" s="62">
        <v>58826</v>
      </c>
      <c r="W8" s="93">
        <f t="shared" si="2"/>
        <v>24.933666765566056</v>
      </c>
      <c r="X8" s="93">
        <f t="shared" si="4"/>
        <v>8.318626619152667</v>
      </c>
      <c r="Y8" s="469">
        <f>'Private,Public8EndUse'!S11</f>
        <v>29134</v>
      </c>
      <c r="Z8" s="93">
        <f t="shared" si="5"/>
        <v>7109.4794726674054</v>
      </c>
      <c r="AA8" s="469">
        <f>'Private,Public8EndUse'!AC11</f>
        <v>16425</v>
      </c>
      <c r="AB8" s="93">
        <f t="shared" si="6"/>
        <v>5430.2750726185241</v>
      </c>
      <c r="AC8" s="62">
        <f>Commercial8EndUse!Q12</f>
        <v>116013</v>
      </c>
      <c r="AD8" s="93">
        <f t="shared" si="3"/>
        <v>2.5018977787362515</v>
      </c>
      <c r="AF8" s="98">
        <v>58826</v>
      </c>
      <c r="AG8" s="98">
        <v>118558</v>
      </c>
      <c r="AH8" s="98">
        <v>58826</v>
      </c>
      <c r="AI8" s="98">
        <v>118558</v>
      </c>
      <c r="AJ8" s="1">
        <f t="shared" si="7"/>
        <v>0</v>
      </c>
      <c r="AL8" s="475">
        <f t="shared" si="8"/>
        <v>29134</v>
      </c>
      <c r="AM8" s="113">
        <f t="shared" si="9"/>
        <v>16425</v>
      </c>
      <c r="AN8" s="56">
        <f t="shared" si="10"/>
        <v>45559</v>
      </c>
      <c r="AO8" s="476">
        <f t="shared" si="11"/>
        <v>118558</v>
      </c>
    </row>
    <row r="9" spans="1:67">
      <c r="A9">
        <v>2012</v>
      </c>
      <c r="B9" s="467">
        <v>7.1501000000000001</v>
      </c>
      <c r="C9" s="467">
        <f t="shared" si="0"/>
        <v>4.0794839294117722</v>
      </c>
      <c r="D9" s="467">
        <f t="shared" si="1"/>
        <v>3.0771262823529497</v>
      </c>
      <c r="G9" s="55">
        <v>253.58353381643323</v>
      </c>
      <c r="H9" s="55">
        <v>35.465732481564345</v>
      </c>
      <c r="I9" s="55">
        <v>2.3861999999999997</v>
      </c>
      <c r="J9" s="102">
        <v>3.0926885245901659</v>
      </c>
      <c r="K9" s="102">
        <v>103.79969999999999</v>
      </c>
      <c r="L9" s="102">
        <v>46.539999999999964</v>
      </c>
      <c r="N9" t="s">
        <v>818</v>
      </c>
      <c r="O9" t="s">
        <v>851</v>
      </c>
      <c r="T9">
        <v>2012</v>
      </c>
      <c r="V9" s="62">
        <v>59932</v>
      </c>
      <c r="W9" s="93">
        <f t="shared" si="2"/>
        <v>25.116084150532231</v>
      </c>
      <c r="X9" s="93">
        <f t="shared" si="4"/>
        <v>8.3819806715989973</v>
      </c>
      <c r="Y9" s="469">
        <f>'Private,Public8EndUse'!S12</f>
        <v>29324</v>
      </c>
      <c r="Z9" s="93">
        <f t="shared" si="5"/>
        <v>7188.1641176677658</v>
      </c>
      <c r="AA9" s="469">
        <f>'Private,Public8EndUse'!AC12</f>
        <v>16866</v>
      </c>
      <c r="AB9" s="93">
        <f t="shared" si="6"/>
        <v>5481.0880192746836</v>
      </c>
      <c r="AC9" s="62">
        <f>Commercial8EndUse!Q13</f>
        <v>118330</v>
      </c>
      <c r="AD9" s="93">
        <f t="shared" si="3"/>
        <v>2.5425440481306425</v>
      </c>
      <c r="AF9" s="98">
        <v>59932</v>
      </c>
      <c r="AG9" s="98">
        <v>120970</v>
      </c>
      <c r="AH9" s="98">
        <v>59932</v>
      </c>
      <c r="AI9" s="98">
        <v>120970</v>
      </c>
      <c r="AJ9" s="1">
        <f t="shared" si="7"/>
        <v>0</v>
      </c>
      <c r="AL9" s="475">
        <f>Y9</f>
        <v>29324</v>
      </c>
      <c r="AM9" s="113">
        <f t="shared" si="9"/>
        <v>16866</v>
      </c>
      <c r="AN9" s="56">
        <f t="shared" si="10"/>
        <v>46190</v>
      </c>
      <c r="AO9" s="476">
        <f t="shared" si="11"/>
        <v>120970</v>
      </c>
    </row>
    <row r="10" spans="1:67">
      <c r="A10">
        <v>2013</v>
      </c>
      <c r="B10" s="467">
        <v>7.1788999999999996</v>
      </c>
      <c r="C10" s="467">
        <f t="shared" si="0"/>
        <v>4.0610588470588311</v>
      </c>
      <c r="D10" s="467">
        <f t="shared" si="1"/>
        <v>3.1295439117647135</v>
      </c>
      <c r="G10" s="55">
        <v>261.4483987932918</v>
      </c>
      <c r="H10" s="55">
        <v>36.419005529160707</v>
      </c>
      <c r="I10" s="55">
        <v>2.4073000000000002</v>
      </c>
      <c r="J10" s="102">
        <v>3.079885245901643</v>
      </c>
      <c r="K10" s="102">
        <v>104.71755</v>
      </c>
      <c r="L10" s="102">
        <v>46.70999999999998</v>
      </c>
      <c r="N10" t="s">
        <v>852</v>
      </c>
      <c r="O10" t="s">
        <v>853</v>
      </c>
      <c r="T10">
        <v>2013</v>
      </c>
      <c r="V10" s="62">
        <v>58394</v>
      </c>
      <c r="W10" s="93">
        <f t="shared" si="2"/>
        <v>24.257051468450129</v>
      </c>
      <c r="X10" s="93">
        <f t="shared" si="4"/>
        <v>8.134115254426165</v>
      </c>
      <c r="Y10" s="469">
        <f>'Private,Public8EndUse'!S13</f>
        <v>28489</v>
      </c>
      <c r="Z10" s="93">
        <f t="shared" si="5"/>
        <v>7015.1655203501386</v>
      </c>
      <c r="AA10" s="469">
        <f>'Private,Public8EndUse'!AC13</f>
        <v>16604</v>
      </c>
      <c r="AB10" s="93">
        <f t="shared" si="6"/>
        <v>5305.5654332190525</v>
      </c>
      <c r="AC10" s="62">
        <f>Commercial8EndUse!Q14</f>
        <v>118209</v>
      </c>
      <c r="AD10" s="93">
        <f t="shared" si="3"/>
        <v>2.5307000642260769</v>
      </c>
      <c r="AF10" s="98">
        <v>58394</v>
      </c>
      <c r="AG10" s="98">
        <v>121215</v>
      </c>
      <c r="AH10" s="98">
        <v>58394</v>
      </c>
      <c r="AI10" s="98">
        <v>121215</v>
      </c>
      <c r="AJ10" s="1">
        <f t="shared" si="7"/>
        <v>0</v>
      </c>
      <c r="AL10" s="475">
        <f t="shared" si="8"/>
        <v>28489</v>
      </c>
      <c r="AM10" s="113">
        <f t="shared" si="9"/>
        <v>16604</v>
      </c>
      <c r="AN10" s="56">
        <f t="shared" si="10"/>
        <v>45093</v>
      </c>
      <c r="AO10" s="476">
        <f t="shared" si="11"/>
        <v>121215</v>
      </c>
    </row>
    <row r="11" spans="1:67">
      <c r="A11">
        <v>2014</v>
      </c>
      <c r="B11" s="467">
        <v>7.2294999999999998</v>
      </c>
      <c r="C11" s="467">
        <f t="shared" si="0"/>
        <v>4.0426337647058901</v>
      </c>
      <c r="D11" s="467">
        <f t="shared" si="1"/>
        <v>3.1819615411764772</v>
      </c>
      <c r="G11" s="55">
        <v>268.67069284922229</v>
      </c>
      <c r="H11" s="55">
        <v>37.163108492872574</v>
      </c>
      <c r="I11" s="55">
        <v>2.4323999999999999</v>
      </c>
      <c r="J11" s="102">
        <v>3.0670819672131167</v>
      </c>
      <c r="K11" s="102">
        <v>105.8094</v>
      </c>
      <c r="L11" s="102">
        <v>46.879999999999995</v>
      </c>
      <c r="N11" t="s">
        <v>854</v>
      </c>
      <c r="O11" t="s">
        <v>855</v>
      </c>
      <c r="T11">
        <v>2014</v>
      </c>
      <c r="V11" s="62">
        <v>61910</v>
      </c>
      <c r="W11" s="93">
        <f t="shared" si="2"/>
        <v>25.452228251932251</v>
      </c>
      <c r="X11" s="93">
        <f t="shared" si="4"/>
        <v>8.5635244484404183</v>
      </c>
      <c r="Y11" s="469">
        <f>'Private,Public8EndUse'!S14</f>
        <v>30548</v>
      </c>
      <c r="Z11" s="93">
        <f t="shared" si="5"/>
        <v>7556.4599164778483</v>
      </c>
      <c r="AA11" s="469">
        <f>'Private,Public8EndUse'!AC14</f>
        <v>17371</v>
      </c>
      <c r="AB11" s="93">
        <f t="shared" si="6"/>
        <v>5459.2111737395053</v>
      </c>
      <c r="AC11" s="62">
        <f>Commercial8EndUse!Q15</f>
        <v>119615</v>
      </c>
      <c r="AD11" s="93">
        <f t="shared" si="3"/>
        <v>2.5515145051194539</v>
      </c>
      <c r="AF11" s="98">
        <v>61910</v>
      </c>
      <c r="AG11" s="98">
        <v>122711</v>
      </c>
      <c r="AH11" s="98">
        <v>61910</v>
      </c>
      <c r="AI11" s="98">
        <v>122711</v>
      </c>
      <c r="AJ11" s="1">
        <f t="shared" si="7"/>
        <v>0</v>
      </c>
      <c r="AL11" s="475">
        <f t="shared" si="8"/>
        <v>30548</v>
      </c>
      <c r="AM11" s="113">
        <f t="shared" si="9"/>
        <v>17371</v>
      </c>
      <c r="AN11" s="56">
        <f t="shared" si="10"/>
        <v>47919</v>
      </c>
      <c r="AO11" s="476">
        <f t="shared" si="11"/>
        <v>122711</v>
      </c>
    </row>
    <row r="12" spans="1:67">
      <c r="A12">
        <v>2015</v>
      </c>
      <c r="B12" s="467">
        <v>7.2913000000000006</v>
      </c>
      <c r="C12" s="467">
        <f>TREND($C$49:$C$50,$A$49:$A$50,$A12)</f>
        <v>4.024208682352949</v>
      </c>
      <c r="D12" s="467">
        <f t="shared" ref="D12:D46" si="12">TREND($D$49:$D$50,$A$49:$A$50,$A12)</f>
        <v>3.234379170588241</v>
      </c>
      <c r="G12" s="55">
        <v>275.08613446344197</v>
      </c>
      <c r="H12" s="55">
        <v>37.727995619908931</v>
      </c>
      <c r="I12" s="55">
        <v>2.4710999999999999</v>
      </c>
      <c r="J12" s="102">
        <v>3.0542786885245938</v>
      </c>
      <c r="K12" s="102">
        <v>107.49284999999999</v>
      </c>
      <c r="L12" s="102">
        <v>47.050000000000011</v>
      </c>
      <c r="T12">
        <v>2015</v>
      </c>
      <c r="V12" s="62">
        <v>60214</v>
      </c>
      <c r="W12" s="93">
        <f t="shared" si="2"/>
        <v>24.36728582412691</v>
      </c>
      <c r="X12" s="93">
        <f t="shared" si="4"/>
        <v>8.2583352762881788</v>
      </c>
      <c r="Y12" s="469">
        <f>'Private,Public8EndUse'!S15</f>
        <v>29241</v>
      </c>
      <c r="Z12" s="93">
        <f t="shared" si="5"/>
        <v>7266.2732746013635</v>
      </c>
      <c r="AA12" s="469">
        <f>'Private,Public8EndUse'!AC15</f>
        <v>16970</v>
      </c>
      <c r="AB12" s="93">
        <f t="shared" si="6"/>
        <v>5246.7565195560055</v>
      </c>
      <c r="AC12" s="62">
        <f>Commercial8EndUse!Q16</f>
        <v>120417</v>
      </c>
      <c r="AD12" s="93">
        <f t="shared" si="3"/>
        <v>2.5593411264612111</v>
      </c>
      <c r="AF12" s="98">
        <v>60214</v>
      </c>
      <c r="AG12" s="98">
        <v>123674</v>
      </c>
      <c r="AH12" s="98">
        <v>60214</v>
      </c>
      <c r="AI12" s="98">
        <v>123674</v>
      </c>
      <c r="AJ12" s="1">
        <f t="shared" si="7"/>
        <v>0</v>
      </c>
      <c r="AL12" s="475">
        <f t="shared" si="8"/>
        <v>29241</v>
      </c>
      <c r="AM12" s="113">
        <f t="shared" si="9"/>
        <v>16970</v>
      </c>
      <c r="AN12" s="56">
        <f t="shared" si="10"/>
        <v>46211</v>
      </c>
      <c r="AO12" s="476">
        <f t="shared" si="11"/>
        <v>123674</v>
      </c>
    </row>
    <row r="13" spans="1:67">
      <c r="A13">
        <v>2016</v>
      </c>
      <c r="B13" s="467">
        <v>7.3366000000000007</v>
      </c>
      <c r="C13" s="467">
        <f>B13*Building!D31</f>
        <v>4.0057836000000009</v>
      </c>
      <c r="D13" s="467">
        <f>B13*Building!D32</f>
        <v>3.2867967999999999</v>
      </c>
      <c r="E13" s="467">
        <f>$B13*C13/($C13+$D13)</f>
        <v>4.029963380281691</v>
      </c>
      <c r="F13" s="467">
        <f>$B13*D13/($C13+$D13)</f>
        <v>3.3066366197183101</v>
      </c>
      <c r="G13" s="55">
        <v>281.03603654829504</v>
      </c>
      <c r="H13" s="55">
        <v>38.306032296744412</v>
      </c>
      <c r="I13" s="551">
        <v>2.8</v>
      </c>
      <c r="J13" s="102">
        <v>3.0414754098360675</v>
      </c>
      <c r="K13" s="102">
        <v>108.70214999999999</v>
      </c>
      <c r="L13" s="102">
        <v>47.21999999999997</v>
      </c>
      <c r="T13">
        <v>2016</v>
      </c>
      <c r="V13" s="62">
        <v>61439</v>
      </c>
      <c r="W13" s="93">
        <f t="shared" si="2"/>
        <v>21.942499999999999</v>
      </c>
      <c r="X13" s="93">
        <f t="shared" si="4"/>
        <v>8.3743150778289657</v>
      </c>
      <c r="Y13" s="469">
        <f>'Private,Public8EndUse'!S16</f>
        <v>30489</v>
      </c>
      <c r="Z13" s="93">
        <f t="shared" si="5"/>
        <v>7611.2449009976463</v>
      </c>
      <c r="AA13" s="469">
        <f>'Private,Public8EndUse'!AC16</f>
        <v>17190</v>
      </c>
      <c r="AB13" s="93">
        <f t="shared" si="6"/>
        <v>5230.0160448008228</v>
      </c>
      <c r="AC13" s="62">
        <f>Commercial8EndUse!Q17</f>
        <v>120458</v>
      </c>
      <c r="AD13" s="93">
        <f t="shared" si="3"/>
        <v>2.5509953409572232</v>
      </c>
      <c r="AF13" s="98">
        <v>61439</v>
      </c>
      <c r="AG13" s="98">
        <v>123969</v>
      </c>
      <c r="AH13" s="98">
        <v>61439</v>
      </c>
      <c r="AI13" s="98">
        <v>123969</v>
      </c>
      <c r="AJ13" s="1">
        <f t="shared" si="7"/>
        <v>0</v>
      </c>
      <c r="AL13" s="475">
        <f t="shared" si="8"/>
        <v>30489</v>
      </c>
      <c r="AM13" s="113">
        <f t="shared" si="9"/>
        <v>17190</v>
      </c>
      <c r="AN13" s="56">
        <f t="shared" si="10"/>
        <v>47679</v>
      </c>
      <c r="AO13" s="476">
        <f t="shared" si="11"/>
        <v>123969</v>
      </c>
    </row>
    <row r="14" spans="1:67">
      <c r="A14">
        <v>2017</v>
      </c>
      <c r="B14" s="467">
        <v>7.3917000000000002</v>
      </c>
      <c r="C14" s="467">
        <f>TREND($C$49:$C$50,$A$49:$A$50,$A14)</f>
        <v>3.9873585176470669</v>
      </c>
      <c r="D14" s="467">
        <f t="shared" si="12"/>
        <v>3.3392144294117685</v>
      </c>
      <c r="E14" s="467">
        <f t="shared" ref="E14:E46" si="13">$B14*C14/($C14+$D14)</f>
        <v>4.0228027712088155</v>
      </c>
      <c r="F14" s="467">
        <f t="shared" ref="F14:F47" si="14">$B14*D14/($C14+$D14)</f>
        <v>3.3688972287911843</v>
      </c>
      <c r="G14" s="55">
        <v>291.69109227205433</v>
      </c>
      <c r="H14" s="55">
        <v>39.461976578061119</v>
      </c>
      <c r="I14" s="551">
        <v>2.8</v>
      </c>
      <c r="J14" s="102">
        <v>3.0286721311475446</v>
      </c>
      <c r="K14" s="102">
        <v>110.25945</v>
      </c>
      <c r="L14" s="102">
        <v>47.389999999999986</v>
      </c>
      <c r="T14">
        <v>2017</v>
      </c>
      <c r="V14" s="62"/>
      <c r="W14" s="93"/>
      <c r="X14" s="62"/>
      <c r="Y14" s="469">
        <f>'Private,Public8EndUse'!S17</f>
        <v>30231</v>
      </c>
      <c r="Z14" s="93">
        <f t="shared" si="5"/>
        <v>7581.7110165050462</v>
      </c>
      <c r="AA14" s="469">
        <f>'Private,Public8EndUse'!AC17</f>
        <v>16713</v>
      </c>
      <c r="AB14" s="93">
        <f t="shared" si="6"/>
        <v>5005.0694117730382</v>
      </c>
      <c r="AC14" s="62">
        <f>Commercial8EndUse!Q18</f>
        <v>120408</v>
      </c>
      <c r="AD14" s="93">
        <f>AD13</f>
        <v>2.5509953409572232</v>
      </c>
      <c r="AF14" s="98">
        <v>62377.589756447647</v>
      </c>
      <c r="AG14" s="98">
        <v>126310.48669229099</v>
      </c>
      <c r="AH14" s="98">
        <f t="shared" ref="AH14:AH47" si="15">I14*$W$16*1000</f>
        <v>68586.326500003895</v>
      </c>
      <c r="AI14" s="212">
        <f>L14*$AD$16*1000</f>
        <v>120891.66920796278</v>
      </c>
      <c r="AJ14" s="1">
        <f t="shared" si="7"/>
        <v>-4.2900772740502198E-2</v>
      </c>
      <c r="AL14" s="475">
        <f t="shared" si="8"/>
        <v>30231</v>
      </c>
      <c r="AM14" s="113">
        <f t="shared" si="9"/>
        <v>16713</v>
      </c>
      <c r="AN14" s="56">
        <f t="shared" si="10"/>
        <v>46944</v>
      </c>
      <c r="AO14" s="114">
        <f t="shared" si="11"/>
        <v>120891.66920796278</v>
      </c>
    </row>
    <row r="15" spans="1:67">
      <c r="A15">
        <v>2018</v>
      </c>
      <c r="B15" s="467">
        <v>7.4509999999999996</v>
      </c>
      <c r="C15" s="467">
        <f t="shared" ref="C15:C46" si="16">TREND($C$49:$C$50,$A$49:$A$50,$A15)</f>
        <v>3.9689334352941259</v>
      </c>
      <c r="D15" s="467">
        <f t="shared" si="12"/>
        <v>3.3916320588235322</v>
      </c>
      <c r="E15" s="467">
        <f t="shared" si="13"/>
        <v>4.0176971524823735</v>
      </c>
      <c r="F15" s="467">
        <f t="shared" si="14"/>
        <v>3.4333028475176262</v>
      </c>
      <c r="G15" s="55">
        <v>301.90028050157622</v>
      </c>
      <c r="H15" s="55">
        <v>40.518088914451248</v>
      </c>
      <c r="I15" s="551">
        <v>2.8</v>
      </c>
      <c r="J15" s="102">
        <v>3.0158688524590183</v>
      </c>
      <c r="K15" s="102">
        <v>110.89632222222214</v>
      </c>
      <c r="L15" s="102">
        <v>47.56</v>
      </c>
      <c r="T15">
        <v>2018</v>
      </c>
      <c r="V15" s="62"/>
      <c r="W15" s="93" t="s">
        <v>856</v>
      </c>
      <c r="X15" s="62"/>
      <c r="Y15" s="469">
        <f>'Private,Public8EndUse'!S18</f>
        <v>30241</v>
      </c>
      <c r="Z15" s="93">
        <f t="shared" si="5"/>
        <v>7619.427358261787</v>
      </c>
      <c r="AA15" s="469">
        <f>'Private,Public8EndUse'!AC18</f>
        <v>16925</v>
      </c>
      <c r="AB15" s="93">
        <f t="shared" si="6"/>
        <v>4990.2229093420101</v>
      </c>
      <c r="AC15" s="62">
        <f>Commercial8EndUse!Q19</f>
        <v>122220</v>
      </c>
      <c r="AD15" s="93">
        <f t="shared" ref="AD15:AD47" si="17">AD14</f>
        <v>2.5509953409572232</v>
      </c>
      <c r="AF15" s="98">
        <v>62807.111646458419</v>
      </c>
      <c r="AG15" s="98">
        <v>127689.14928938542</v>
      </c>
      <c r="AH15" s="98">
        <f t="shared" si="15"/>
        <v>68586.326500003895</v>
      </c>
      <c r="AI15" s="212">
        <f t="shared" ref="AI15:AI47" si="18">L15*$AD$16*1000</f>
        <v>121325.33841592554</v>
      </c>
      <c r="AJ15" s="1">
        <f t="shared" si="7"/>
        <v>-4.9838305830023195E-2</v>
      </c>
      <c r="AL15" s="475">
        <f t="shared" si="8"/>
        <v>30241</v>
      </c>
      <c r="AM15" s="113">
        <f t="shared" si="9"/>
        <v>16925</v>
      </c>
      <c r="AN15" s="56">
        <f t="shared" si="10"/>
        <v>47166</v>
      </c>
      <c r="AO15" s="114">
        <f t="shared" si="11"/>
        <v>121325.33841592554</v>
      </c>
      <c r="AU15" s="18" t="s">
        <v>857</v>
      </c>
      <c r="BA15" s="18" t="s">
        <v>858</v>
      </c>
      <c r="BG15" s="18" t="s">
        <v>859</v>
      </c>
      <c r="BM15" s="18" t="s">
        <v>860</v>
      </c>
    </row>
    <row r="16" spans="1:67" ht="15" customHeight="1">
      <c r="A16">
        <v>2019</v>
      </c>
      <c r="B16" s="467">
        <v>7.5026000000000002</v>
      </c>
      <c r="C16" s="467">
        <f t="shared" si="16"/>
        <v>3.9505083529411849</v>
      </c>
      <c r="D16" s="467">
        <f t="shared" si="12"/>
        <v>3.444049688235296</v>
      </c>
      <c r="E16" s="467">
        <f t="shared" si="13"/>
        <v>4.0082292685690968</v>
      </c>
      <c r="F16" s="467">
        <f t="shared" si="14"/>
        <v>3.4943707314309043</v>
      </c>
      <c r="G16" s="55">
        <v>310.65538863612193</v>
      </c>
      <c r="H16" s="55">
        <v>41.406364278533033</v>
      </c>
      <c r="I16" s="551">
        <v>2.8</v>
      </c>
      <c r="J16" s="102">
        <v>3.0030655737704954</v>
      </c>
      <c r="K16" s="102">
        <v>111.5331944444444</v>
      </c>
      <c r="L16" s="102">
        <v>47.729999999999961</v>
      </c>
      <c r="T16">
        <v>2019</v>
      </c>
      <c r="V16" s="62"/>
      <c r="W16" s="93">
        <f>AVERAGE(W3:W13)</f>
        <v>24.495116607144247</v>
      </c>
      <c r="X16" s="62"/>
      <c r="Y16" s="469">
        <f>'Private,Public8EndUse'!S19</f>
        <v>30115</v>
      </c>
      <c r="Z16" s="93">
        <f t="shared" si="5"/>
        <v>7623.0695671303019</v>
      </c>
      <c r="AA16" s="469">
        <f>'Private,Public8EndUse'!AC19</f>
        <v>16785</v>
      </c>
      <c r="AB16" s="93">
        <f t="shared" si="6"/>
        <v>4873.6230656998741</v>
      </c>
      <c r="AC16" s="62">
        <f>Commercial8EndUse!Q20</f>
        <v>123001</v>
      </c>
      <c r="AD16" s="93">
        <f t="shared" si="17"/>
        <v>2.5509953409572232</v>
      </c>
      <c r="AF16" s="98">
        <v>63353.1262185222</v>
      </c>
      <c r="AG16" s="98">
        <v>129082.92646772019</v>
      </c>
      <c r="AH16" s="98">
        <f t="shared" si="15"/>
        <v>68586.326500003895</v>
      </c>
      <c r="AI16" s="212">
        <f t="shared" si="18"/>
        <v>121759.00762388816</v>
      </c>
      <c r="AJ16" s="1">
        <f t="shared" si="7"/>
        <v>-5.6738091118994902E-2</v>
      </c>
      <c r="AL16" s="475">
        <f t="shared" si="8"/>
        <v>30115</v>
      </c>
      <c r="AM16" s="113">
        <f t="shared" si="9"/>
        <v>16785</v>
      </c>
      <c r="AN16" s="56">
        <f t="shared" si="10"/>
        <v>46900</v>
      </c>
      <c r="AO16" s="114">
        <f t="shared" si="11"/>
        <v>121759.00762388816</v>
      </c>
      <c r="AV16" s="553" t="s">
        <v>861</v>
      </c>
      <c r="AW16" s="653" t="s">
        <v>862</v>
      </c>
      <c r="AX16" s="653" t="s">
        <v>863</v>
      </c>
      <c r="AY16" s="654" t="s">
        <v>864</v>
      </c>
      <c r="BO16" s="654" t="s">
        <v>864</v>
      </c>
    </row>
    <row r="17" spans="1:67">
      <c r="A17">
        <v>2020</v>
      </c>
      <c r="B17" s="467">
        <v>7.5581000000000005</v>
      </c>
      <c r="C17" s="467">
        <f t="shared" si="16"/>
        <v>3.9320832705882438</v>
      </c>
      <c r="D17" s="467">
        <f t="shared" si="12"/>
        <v>3.4964673176470598</v>
      </c>
      <c r="E17" s="467">
        <f t="shared" si="13"/>
        <v>4.0006564153308073</v>
      </c>
      <c r="F17" s="467">
        <f t="shared" si="14"/>
        <v>3.5574435846691936</v>
      </c>
      <c r="G17" s="55">
        <v>319.97505029520562</v>
      </c>
      <c r="H17" s="55">
        <v>42.335381947209697</v>
      </c>
      <c r="I17" s="551">
        <v>2.7</v>
      </c>
      <c r="J17" s="102">
        <v>2.9902622950819691</v>
      </c>
      <c r="K17" s="102">
        <v>112.17006666666666</v>
      </c>
      <c r="L17" s="102">
        <v>47.899999999999977</v>
      </c>
      <c r="T17">
        <v>2020</v>
      </c>
      <c r="V17" s="62"/>
      <c r="W17" s="62"/>
      <c r="X17" s="62"/>
      <c r="Y17" s="469">
        <f>'Private,Public8EndUse'!S20</f>
        <v>32856</v>
      </c>
      <c r="Z17" s="93">
        <f t="shared" si="5"/>
        <v>8355.875941326316</v>
      </c>
      <c r="AA17" s="469">
        <f>'Private,Public8EndUse'!AC20</f>
        <v>18119</v>
      </c>
      <c r="AB17" s="93">
        <f t="shared" si="6"/>
        <v>5182.087619853156</v>
      </c>
      <c r="AC17" s="62">
        <f>Commercial8EndUse!Q21</f>
        <v>114512</v>
      </c>
      <c r="AD17" s="93">
        <f t="shared" si="17"/>
        <v>2.5509953409572232</v>
      </c>
      <c r="AF17" s="98">
        <v>63846.350857307261</v>
      </c>
      <c r="AG17" s="98">
        <v>130491.81822729623</v>
      </c>
      <c r="AH17" s="98">
        <f t="shared" si="15"/>
        <v>66136.814839289465</v>
      </c>
      <c r="AI17" s="212">
        <f t="shared" si="18"/>
        <v>122192.67683185093</v>
      </c>
      <c r="AJ17" s="1">
        <f t="shared" si="7"/>
        <v>-6.3598940594034051E-2</v>
      </c>
      <c r="AL17" s="475">
        <f t="shared" si="8"/>
        <v>32856</v>
      </c>
      <c r="AM17" s="113">
        <f t="shared" si="9"/>
        <v>18119</v>
      </c>
      <c r="AN17" s="56">
        <f t="shared" si="10"/>
        <v>50975</v>
      </c>
      <c r="AO17" s="114">
        <f t="shared" si="11"/>
        <v>122192.67683185093</v>
      </c>
      <c r="AU17" s="18" t="s">
        <v>865</v>
      </c>
      <c r="AV17" s="554" t="s">
        <v>866</v>
      </c>
      <c r="AW17" s="653"/>
      <c r="AX17" s="653"/>
      <c r="AY17" s="654"/>
      <c r="BC17" s="554" t="s">
        <v>867</v>
      </c>
      <c r="BD17" s="18" t="s">
        <v>868</v>
      </c>
      <c r="BE17" s="18" t="s">
        <v>869</v>
      </c>
      <c r="BI17" s="564" t="s">
        <v>868</v>
      </c>
      <c r="BJ17" s="564" t="s">
        <v>870</v>
      </c>
      <c r="BO17" s="654"/>
    </row>
    <row r="18" spans="1:67">
      <c r="A18">
        <v>2021</v>
      </c>
      <c r="B18" s="467">
        <f t="shared" ref="B18:B47" si="19">BO18</f>
        <v>7.3895</v>
      </c>
      <c r="C18" s="467">
        <f t="shared" si="16"/>
        <v>3.9136581882353028</v>
      </c>
      <c r="D18" s="467">
        <f t="shared" si="12"/>
        <v>3.5488849470588235</v>
      </c>
      <c r="E18" s="467">
        <f t="shared" si="13"/>
        <v>3.8753514261361688</v>
      </c>
      <c r="F18" s="467">
        <f t="shared" si="14"/>
        <v>3.5141485738638312</v>
      </c>
      <c r="G18" s="55">
        <f t="shared" ref="G18:G47" si="20">BE18</f>
        <v>367.68884615384621</v>
      </c>
      <c r="H18" s="55">
        <f t="shared" ref="H18:H47" si="21">BJ18</f>
        <v>49.599871794871795</v>
      </c>
      <c r="I18" s="551">
        <v>2.7</v>
      </c>
      <c r="J18" s="102">
        <v>2.9774590163934462</v>
      </c>
      <c r="K18" s="102">
        <v>112.80693888888892</v>
      </c>
      <c r="L18" s="102">
        <v>48.269999999999982</v>
      </c>
      <c r="T18">
        <v>2021</v>
      </c>
      <c r="V18" s="62"/>
      <c r="W18" s="62"/>
      <c r="X18" s="62"/>
      <c r="Y18" s="469">
        <f>'Private,Public8EndUse'!S21</f>
        <v>32236</v>
      </c>
      <c r="Z18" s="93">
        <f t="shared" si="5"/>
        <v>8236.7949497744594</v>
      </c>
      <c r="AA18" s="469">
        <f>'Private,Public8EndUse'!AC21</f>
        <v>18298</v>
      </c>
      <c r="AB18" s="93">
        <f t="shared" si="6"/>
        <v>5155.9856892978914</v>
      </c>
      <c r="AC18" s="62">
        <f>Commercial8EndUse!Q22</f>
        <v>120083</v>
      </c>
      <c r="AD18" s="93">
        <f t="shared" si="17"/>
        <v>2.5509953409572232</v>
      </c>
      <c r="AF18" s="98">
        <v>64283.849508860963</v>
      </c>
      <c r="AG18" s="98">
        <v>132413.99363611278</v>
      </c>
      <c r="AH18" s="98">
        <f t="shared" si="15"/>
        <v>66136.814839289465</v>
      </c>
      <c r="AI18" s="212">
        <f t="shared" si="18"/>
        <v>123136.54510800513</v>
      </c>
      <c r="AJ18" s="1">
        <f t="shared" si="7"/>
        <v>-7.0063958297361131E-2</v>
      </c>
      <c r="AL18" s="475">
        <f t="shared" si="8"/>
        <v>32236</v>
      </c>
      <c r="AM18" s="113">
        <f t="shared" si="9"/>
        <v>18298</v>
      </c>
      <c r="AN18" s="56">
        <f t="shared" si="10"/>
        <v>50534</v>
      </c>
      <c r="AO18" s="114">
        <f t="shared" si="11"/>
        <v>123136.54510800513</v>
      </c>
      <c r="AU18">
        <v>2021</v>
      </c>
      <c r="AV18" s="552">
        <v>2867973</v>
      </c>
      <c r="AW18" s="555">
        <f>(AV19-AV18)/AV18</f>
        <v>-3.6807529220114696E-2</v>
      </c>
      <c r="AX18" s="557">
        <v>386879</v>
      </c>
      <c r="AY18" s="552">
        <v>7389500</v>
      </c>
      <c r="BC18" s="560">
        <f t="shared" ref="BC18:BC48" si="22">AV18*1000000</f>
        <v>2867973000000</v>
      </c>
      <c r="BD18" s="561">
        <f t="shared" ref="BD18:BD48" si="23">BC18/7.8</f>
        <v>367688846153.84619</v>
      </c>
      <c r="BE18" s="563">
        <f t="shared" ref="BE18:BE48" si="24">BD18/1000000000</f>
        <v>367.68884615384621</v>
      </c>
      <c r="BI18" s="565">
        <f t="shared" ref="BI18:BI48" si="25">AX18/7.8</f>
        <v>49599.871794871797</v>
      </c>
      <c r="BJ18" s="563">
        <f t="shared" ref="BJ18:BJ48" si="26">BI18/1000</f>
        <v>49.599871794871795</v>
      </c>
      <c r="BO18" s="560">
        <f t="shared" ref="BO18:BO48" si="27">AY18/1000000</f>
        <v>7.3895</v>
      </c>
    </row>
    <row r="19" spans="1:67">
      <c r="A19">
        <v>2022</v>
      </c>
      <c r="B19" s="467">
        <f t="shared" si="19"/>
        <v>7.4375</v>
      </c>
      <c r="C19" s="467">
        <f t="shared" si="16"/>
        <v>3.8952331058823617</v>
      </c>
      <c r="D19" s="467">
        <f t="shared" si="12"/>
        <v>3.6013025764705873</v>
      </c>
      <c r="E19" s="467">
        <f t="shared" si="13"/>
        <v>3.8645579041527296</v>
      </c>
      <c r="F19" s="467">
        <f t="shared" si="14"/>
        <v>3.5729420958472704</v>
      </c>
      <c r="G19" s="55">
        <f t="shared" si="20"/>
        <v>354.15512820512822</v>
      </c>
      <c r="H19" s="55">
        <f t="shared" si="21"/>
        <v>48.21</v>
      </c>
      <c r="I19" s="551">
        <v>2.7</v>
      </c>
      <c r="J19" s="102">
        <v>2.9646557377049199</v>
      </c>
      <c r="K19" s="102">
        <v>113.44381111111103</v>
      </c>
      <c r="L19" s="102">
        <v>48.639999999999986</v>
      </c>
      <c r="T19">
        <v>2022</v>
      </c>
      <c r="V19" s="62"/>
      <c r="W19" s="62"/>
      <c r="X19" s="213"/>
      <c r="Y19" s="154">
        <f t="shared" ref="Y19:Y47" si="28">Z19*E19</f>
        <v>32254.93092270906</v>
      </c>
      <c r="Z19" s="93">
        <f t="shared" ref="Z19:Z47" si="29">Z18*(1+0.0133)</f>
        <v>8346.344322606461</v>
      </c>
      <c r="AA19" s="154">
        <f t="shared" ref="AA19:AA47" si="30">AB19*F19</f>
        <v>18667.051424466426</v>
      </c>
      <c r="AB19" s="93">
        <f>AB18*(1+0.0133)</f>
        <v>5224.5602989655536</v>
      </c>
      <c r="AC19" s="154">
        <f>AC18*(1+0.0133)</f>
        <v>121680.10390000002</v>
      </c>
      <c r="AD19" s="93">
        <f t="shared" si="17"/>
        <v>2.5509953409572232</v>
      </c>
      <c r="AF19" s="98">
        <v>64690.115069186955</v>
      </c>
      <c r="AG19" s="98">
        <v>134424.15144217026</v>
      </c>
      <c r="AH19" s="98">
        <f t="shared" si="15"/>
        <v>66136.814839289465</v>
      </c>
      <c r="AI19" s="212">
        <f t="shared" si="18"/>
        <v>124080.4133841593</v>
      </c>
      <c r="AJ19" s="1">
        <f t="shared" si="7"/>
        <v>-7.6948509230209822E-2</v>
      </c>
      <c r="AL19" s="475">
        <f t="shared" si="8"/>
        <v>32254.93092270906</v>
      </c>
      <c r="AM19" s="113">
        <f t="shared" si="9"/>
        <v>18667.051424466426</v>
      </c>
      <c r="AN19" s="56">
        <f t="shared" si="10"/>
        <v>50921.982347175486</v>
      </c>
      <c r="AO19" s="114">
        <f t="shared" si="11"/>
        <v>124080.4133841593</v>
      </c>
      <c r="AU19">
        <v>2022</v>
      </c>
      <c r="AV19" s="552">
        <v>2762410</v>
      </c>
      <c r="AW19" s="555">
        <f t="shared" ref="AW19:AW20" si="31">(AV20-AV19)/AV19</f>
        <v>3.2150549701166736E-2</v>
      </c>
      <c r="AX19" s="557">
        <v>376038</v>
      </c>
      <c r="AY19" s="552">
        <v>7437500</v>
      </c>
      <c r="BC19" s="560">
        <f t="shared" si="22"/>
        <v>2762410000000</v>
      </c>
      <c r="BD19" s="562">
        <f t="shared" si="23"/>
        <v>354155128205.12823</v>
      </c>
      <c r="BE19" s="563">
        <f t="shared" si="24"/>
        <v>354.15512820512822</v>
      </c>
      <c r="BI19" s="563">
        <f t="shared" si="25"/>
        <v>48210</v>
      </c>
      <c r="BJ19" s="563">
        <f t="shared" si="26"/>
        <v>48.21</v>
      </c>
      <c r="BO19" s="563">
        <f t="shared" si="27"/>
        <v>7.4375</v>
      </c>
    </row>
    <row r="20" spans="1:67">
      <c r="A20">
        <v>2023</v>
      </c>
      <c r="B20" s="467">
        <f t="shared" si="19"/>
        <v>7.4847000000000001</v>
      </c>
      <c r="C20" s="467">
        <f t="shared" si="16"/>
        <v>3.8768080235294207</v>
      </c>
      <c r="D20" s="467">
        <f t="shared" si="12"/>
        <v>3.653720205882351</v>
      </c>
      <c r="E20" s="467">
        <f t="shared" si="13"/>
        <v>3.8532150905936149</v>
      </c>
      <c r="F20" s="467">
        <f t="shared" si="14"/>
        <v>3.6314849094063852</v>
      </c>
      <c r="G20" s="55">
        <f t="shared" si="20"/>
        <v>365.5414102564103</v>
      </c>
      <c r="H20" s="55">
        <f t="shared" si="21"/>
        <v>48.505384615384614</v>
      </c>
      <c r="I20" s="551">
        <v>2.7</v>
      </c>
      <c r="J20" s="102">
        <v>2.951852459016397</v>
      </c>
      <c r="K20" s="102">
        <v>114.0806833333333</v>
      </c>
      <c r="L20" s="102">
        <v>49.009999999999991</v>
      </c>
      <c r="T20">
        <v>2023</v>
      </c>
      <c r="V20" s="62"/>
      <c r="W20" s="62"/>
      <c r="X20" s="213"/>
      <c r="Y20" s="154">
        <f t="shared" si="28"/>
        <v>32587.991351763158</v>
      </c>
      <c r="Z20" s="93">
        <f t="shared" si="29"/>
        <v>8457.3507020971283</v>
      </c>
      <c r="AA20" s="154">
        <f t="shared" si="30"/>
        <v>19225.251612034019</v>
      </c>
      <c r="AB20" s="93">
        <f t="shared" ref="AB20:AB47" si="32">AB19*(1+0.0133)</f>
        <v>5294.0469509417962</v>
      </c>
      <c r="AC20" s="154">
        <f t="shared" ref="AC20:AC47" si="33">AC19*(1+0.0133)</f>
        <v>123298.44928187002</v>
      </c>
      <c r="AD20" s="93">
        <f t="shared" si="17"/>
        <v>2.5509953409572232</v>
      </c>
      <c r="AF20" s="98">
        <v>65064.348153172497</v>
      </c>
      <c r="AG20" s="98">
        <v>136522.29164546856</v>
      </c>
      <c r="AH20" s="98">
        <f t="shared" si="15"/>
        <v>66136.814839289465</v>
      </c>
      <c r="AI20" s="212">
        <f t="shared" si="18"/>
        <v>125024.28166031349</v>
      </c>
      <c r="AJ20" s="1">
        <f t="shared" si="7"/>
        <v>-8.4220751399441643E-2</v>
      </c>
      <c r="AL20" s="475">
        <f t="shared" si="8"/>
        <v>32587.991351763158</v>
      </c>
      <c r="AM20" s="113">
        <f t="shared" si="9"/>
        <v>19225.251612034019</v>
      </c>
      <c r="AN20" s="56">
        <f t="shared" si="10"/>
        <v>51813.24296379718</v>
      </c>
      <c r="AO20" s="114">
        <f t="shared" si="11"/>
        <v>125024.28166031349</v>
      </c>
      <c r="AU20">
        <v>2023</v>
      </c>
      <c r="AV20" s="552">
        <v>2851223</v>
      </c>
      <c r="AW20" s="555">
        <f t="shared" si="31"/>
        <v>3.4999999999999892E-2</v>
      </c>
      <c r="AX20" s="557">
        <v>378342</v>
      </c>
      <c r="AY20" s="552">
        <v>7484700</v>
      </c>
      <c r="BC20" s="560">
        <f t="shared" si="22"/>
        <v>2851223000000</v>
      </c>
      <c r="BD20" s="562">
        <f t="shared" si="23"/>
        <v>365541410256.41028</v>
      </c>
      <c r="BE20" s="563">
        <f t="shared" si="24"/>
        <v>365.5414102564103</v>
      </c>
      <c r="BI20" s="563">
        <f t="shared" si="25"/>
        <v>48505.384615384617</v>
      </c>
      <c r="BJ20" s="563">
        <f t="shared" si="26"/>
        <v>48.505384615384614</v>
      </c>
      <c r="BO20" s="563">
        <f t="shared" si="27"/>
        <v>7.4847000000000001</v>
      </c>
    </row>
    <row r="21" spans="1:67">
      <c r="A21">
        <v>2024</v>
      </c>
      <c r="B21" s="467">
        <f t="shared" si="19"/>
        <v>7.5267999999999997</v>
      </c>
      <c r="C21" s="467">
        <f t="shared" si="16"/>
        <v>3.8583829411764796</v>
      </c>
      <c r="D21" s="467">
        <f t="shared" si="12"/>
        <v>3.7061378352941148</v>
      </c>
      <c r="E21" s="467">
        <f t="shared" si="13"/>
        <v>3.8391429648762254</v>
      </c>
      <c r="F21" s="467">
        <f t="shared" si="14"/>
        <v>3.6876570351237743</v>
      </c>
      <c r="G21" s="55">
        <f t="shared" si="20"/>
        <v>378.33535961538456</v>
      </c>
      <c r="H21" s="55">
        <f t="shared" si="21"/>
        <v>50.26510065570821</v>
      </c>
      <c r="I21" s="551">
        <v>2.7</v>
      </c>
      <c r="J21" s="102">
        <v>2.9390491803278707</v>
      </c>
      <c r="K21" s="102">
        <v>114.71755555555555</v>
      </c>
      <c r="L21" s="102">
        <v>49.379999999999995</v>
      </c>
      <c r="T21">
        <v>2024</v>
      </c>
      <c r="V21" s="62"/>
      <c r="W21" s="62"/>
      <c r="X21" s="213"/>
      <c r="Y21" s="154">
        <f t="shared" si="28"/>
        <v>32900.815862824842</v>
      </c>
      <c r="Z21" s="93">
        <f t="shared" si="29"/>
        <v>8569.8334664350205</v>
      </c>
      <c r="AA21" s="154">
        <f t="shared" si="30"/>
        <v>19782.280455038868</v>
      </c>
      <c r="AB21" s="93">
        <f t="shared" si="32"/>
        <v>5364.4577753893227</v>
      </c>
      <c r="AC21" s="154">
        <f t="shared" si="33"/>
        <v>124938.3186573189</v>
      </c>
      <c r="AD21" s="93">
        <f t="shared" si="17"/>
        <v>2.5509953409572232</v>
      </c>
      <c r="AF21" s="98">
        <v>65555.531467310619</v>
      </c>
      <c r="AG21" s="98">
        <v>138708.4142460078</v>
      </c>
      <c r="AH21" s="98">
        <f t="shared" si="15"/>
        <v>66136.814839289465</v>
      </c>
      <c r="AI21" s="212">
        <f t="shared" si="18"/>
        <v>125968.14993646767</v>
      </c>
      <c r="AJ21" s="1">
        <f t="shared" si="7"/>
        <v>-9.1849253549568355E-2</v>
      </c>
      <c r="AL21" s="475">
        <f t="shared" si="8"/>
        <v>32900.815862824842</v>
      </c>
      <c r="AM21" s="113">
        <f t="shared" si="9"/>
        <v>19782.280455038868</v>
      </c>
      <c r="AN21" s="56">
        <f t="shared" si="10"/>
        <v>52683.09631786371</v>
      </c>
      <c r="AO21" s="114">
        <f t="shared" si="11"/>
        <v>125968.14993646767</v>
      </c>
      <c r="AU21">
        <v>2024</v>
      </c>
      <c r="AV21" s="552">
        <f>AV20*(1+0.035)</f>
        <v>2951015.8049999997</v>
      </c>
      <c r="AW21" s="555">
        <v>0.03</v>
      </c>
      <c r="AX21" s="557">
        <f t="shared" ref="AX21:AX46" si="34">AV21*1000000/AY21</f>
        <v>392067.78511452401</v>
      </c>
      <c r="AY21" s="552">
        <v>7526800</v>
      </c>
      <c r="BC21" s="560">
        <f t="shared" si="22"/>
        <v>2951015804999.9995</v>
      </c>
      <c r="BD21" s="562">
        <f t="shared" si="23"/>
        <v>378335359615.38458</v>
      </c>
      <c r="BE21" s="563">
        <f t="shared" si="24"/>
        <v>378.33535961538456</v>
      </c>
      <c r="BI21" s="563">
        <f t="shared" si="25"/>
        <v>50265.100655708207</v>
      </c>
      <c r="BJ21" s="563">
        <f t="shared" si="26"/>
        <v>50.26510065570821</v>
      </c>
      <c r="BO21" s="563">
        <f t="shared" si="27"/>
        <v>7.5267999999999997</v>
      </c>
    </row>
    <row r="22" spans="1:67">
      <c r="A22">
        <v>2025</v>
      </c>
      <c r="B22" s="467">
        <f t="shared" si="19"/>
        <v>7.5598000000000001</v>
      </c>
      <c r="C22" s="467">
        <f t="shared" si="16"/>
        <v>3.8399578588235315</v>
      </c>
      <c r="D22" s="467">
        <f t="shared" si="12"/>
        <v>3.7585554647058785</v>
      </c>
      <c r="E22" s="467">
        <f t="shared" si="13"/>
        <v>3.8203938303618581</v>
      </c>
      <c r="F22" s="467">
        <f t="shared" si="14"/>
        <v>3.739406169638142</v>
      </c>
      <c r="G22" s="55">
        <f t="shared" si="20"/>
        <v>389.68542040384619</v>
      </c>
      <c r="H22" s="55">
        <f t="shared" si="21"/>
        <v>51.547054208292046</v>
      </c>
      <c r="I22" s="551">
        <v>2.7</v>
      </c>
      <c r="J22" s="102">
        <v>2.9262459016393478</v>
      </c>
      <c r="K22" s="102">
        <v>115.35442777777781</v>
      </c>
      <c r="L22" s="102">
        <v>49.75</v>
      </c>
      <c r="T22">
        <v>2025</v>
      </c>
      <c r="V22" s="62"/>
      <c r="W22" s="62"/>
      <c r="X22" s="62"/>
      <c r="Y22" s="154">
        <f t="shared" si="28"/>
        <v>33175.582749798814</v>
      </c>
      <c r="Z22" s="93">
        <f t="shared" si="29"/>
        <v>8683.8122515386076</v>
      </c>
      <c r="AA22" s="154">
        <f t="shared" si="30"/>
        <v>20326.682992531456</v>
      </c>
      <c r="AB22" s="93">
        <f t="shared" si="32"/>
        <v>5435.8050638020013</v>
      </c>
      <c r="AC22" s="154">
        <f t="shared" si="33"/>
        <v>126599.99829546125</v>
      </c>
      <c r="AD22" s="93">
        <f t="shared" si="17"/>
        <v>2.5509953409572232</v>
      </c>
      <c r="AF22" s="98">
        <v>65947.365032926842</v>
      </c>
      <c r="AG22" s="98">
        <v>140982.51924378762</v>
      </c>
      <c r="AH22" s="98">
        <f t="shared" si="15"/>
        <v>66136.814839289465</v>
      </c>
      <c r="AI22" s="212">
        <f t="shared" si="18"/>
        <v>126912.01821262186</v>
      </c>
      <c r="AJ22" s="1">
        <f t="shared" si="7"/>
        <v>-9.9803160750979295E-2</v>
      </c>
      <c r="AL22" s="475">
        <f t="shared" si="8"/>
        <v>33175.582749798814</v>
      </c>
      <c r="AM22" s="113">
        <f t="shared" si="9"/>
        <v>20326.682992531456</v>
      </c>
      <c r="AN22" s="56">
        <f t="shared" si="10"/>
        <v>53502.265742330273</v>
      </c>
      <c r="AO22" s="114">
        <f t="shared" si="11"/>
        <v>126912.01821262186</v>
      </c>
      <c r="AU22">
        <v>2025</v>
      </c>
      <c r="AV22" s="552">
        <f t="shared" ref="AV22:AV46" si="35">AV21*(1+AW21)</f>
        <v>3039546.2791499998</v>
      </c>
      <c r="AW22" s="555">
        <v>0.03</v>
      </c>
      <c r="AX22" s="557">
        <f t="shared" si="34"/>
        <v>402067.02282467793</v>
      </c>
      <c r="AY22" s="552">
        <v>7559800</v>
      </c>
      <c r="BC22" s="560">
        <f t="shared" si="22"/>
        <v>3039546279150</v>
      </c>
      <c r="BD22" s="562">
        <f t="shared" si="23"/>
        <v>389685420403.84619</v>
      </c>
      <c r="BE22" s="563">
        <f t="shared" si="24"/>
        <v>389.68542040384619</v>
      </c>
      <c r="BI22" s="563">
        <f t="shared" si="25"/>
        <v>51547.054208292044</v>
      </c>
      <c r="BJ22" s="563">
        <f t="shared" si="26"/>
        <v>51.547054208292046</v>
      </c>
      <c r="BO22" s="563">
        <f t="shared" si="27"/>
        <v>7.5598000000000001</v>
      </c>
    </row>
    <row r="23" spans="1:67">
      <c r="A23">
        <v>2026</v>
      </c>
      <c r="B23" s="467">
        <f t="shared" si="19"/>
        <v>7.5968</v>
      </c>
      <c r="C23" s="467">
        <f t="shared" si="16"/>
        <v>3.8215327764705904</v>
      </c>
      <c r="D23" s="467">
        <f t="shared" si="12"/>
        <v>3.8109730941176423</v>
      </c>
      <c r="E23" s="467">
        <f t="shared" si="13"/>
        <v>3.8036551413820723</v>
      </c>
      <c r="F23" s="467">
        <f t="shared" si="14"/>
        <v>3.7931448586179277</v>
      </c>
      <c r="G23" s="55">
        <f t="shared" si="20"/>
        <v>401.37598301596154</v>
      </c>
      <c r="H23" s="55">
        <f t="shared" si="21"/>
        <v>52.834875607619203</v>
      </c>
      <c r="I23" s="551">
        <v>2.7</v>
      </c>
      <c r="J23" s="102">
        <v>2.9134426229508215</v>
      </c>
      <c r="K23" s="102">
        <v>115.99129999999991</v>
      </c>
      <c r="L23" s="102">
        <v>50.120000000000005</v>
      </c>
      <c r="T23">
        <v>2026</v>
      </c>
      <c r="V23" s="62"/>
      <c r="W23" s="62"/>
      <c r="X23" s="62"/>
      <c r="Y23" s="154">
        <f t="shared" si="28"/>
        <v>33469.529138022364</v>
      </c>
      <c r="Z23" s="93">
        <f t="shared" si="29"/>
        <v>8799.306954484071</v>
      </c>
      <c r="AA23" s="154">
        <f t="shared" si="30"/>
        <v>20893.026017411648</v>
      </c>
      <c r="AB23" s="93">
        <f t="shared" si="32"/>
        <v>5508.1012711505682</v>
      </c>
      <c r="AC23" s="154">
        <f t="shared" si="33"/>
        <v>128283.77827279089</v>
      </c>
      <c r="AD23" s="93">
        <f t="shared" si="17"/>
        <v>2.5509953409572232</v>
      </c>
      <c r="AF23" s="98">
        <v>66341.944783217972</v>
      </c>
      <c r="AG23" s="98">
        <v>143344.60663880815</v>
      </c>
      <c r="AH23" s="98">
        <f t="shared" si="15"/>
        <v>66136.814839289465</v>
      </c>
      <c r="AI23" s="212">
        <f t="shared" si="18"/>
        <v>127855.88648877604</v>
      </c>
      <c r="AJ23" s="1">
        <f t="shared" si="7"/>
        <v>-0.10805233983486895</v>
      </c>
      <c r="AL23" s="475">
        <f t="shared" si="8"/>
        <v>33469.529138022364</v>
      </c>
      <c r="AM23" s="113">
        <f t="shared" si="9"/>
        <v>20893.026017411648</v>
      </c>
      <c r="AN23" s="56">
        <f t="shared" si="10"/>
        <v>54362.555155434013</v>
      </c>
      <c r="AO23" s="114">
        <f t="shared" si="11"/>
        <v>127855.88648877604</v>
      </c>
      <c r="AU23">
        <v>2026</v>
      </c>
      <c r="AV23" s="552">
        <f t="shared" si="35"/>
        <v>3130732.6675244998</v>
      </c>
      <c r="AW23" s="555">
        <v>2.5000000000000001E-2</v>
      </c>
      <c r="AX23" s="557">
        <f t="shared" si="34"/>
        <v>412112.02973942977</v>
      </c>
      <c r="AY23" s="552">
        <v>7596800</v>
      </c>
      <c r="BC23" s="560">
        <f t="shared" si="22"/>
        <v>3130732667524.5</v>
      </c>
      <c r="BD23" s="562">
        <f t="shared" si="23"/>
        <v>401375983015.96155</v>
      </c>
      <c r="BE23" s="563">
        <f t="shared" si="24"/>
        <v>401.37598301596154</v>
      </c>
      <c r="BI23" s="563">
        <f t="shared" si="25"/>
        <v>52834.8756076192</v>
      </c>
      <c r="BJ23" s="563">
        <f t="shared" si="26"/>
        <v>52.834875607619203</v>
      </c>
      <c r="BO23" s="563">
        <f t="shared" si="27"/>
        <v>7.5968</v>
      </c>
    </row>
    <row r="24" spans="1:67">
      <c r="A24">
        <v>2027</v>
      </c>
      <c r="B24" s="467">
        <f t="shared" si="19"/>
        <v>7.6387</v>
      </c>
      <c r="C24" s="467">
        <f t="shared" si="16"/>
        <v>3.8031076941176494</v>
      </c>
      <c r="D24" s="467">
        <f t="shared" si="12"/>
        <v>3.8633907235294203</v>
      </c>
      <c r="E24" s="467">
        <f t="shared" si="13"/>
        <v>3.7893177772248845</v>
      </c>
      <c r="F24" s="467">
        <f t="shared" si="14"/>
        <v>3.8493822227751155</v>
      </c>
      <c r="G24" s="55">
        <f t="shared" si="20"/>
        <v>411.41038259136053</v>
      </c>
      <c r="H24" s="55">
        <f t="shared" si="21"/>
        <v>53.85869095413625</v>
      </c>
      <c r="I24" s="551">
        <v>2.7</v>
      </c>
      <c r="J24" s="102">
        <v>2.9006393442622986</v>
      </c>
      <c r="K24" s="102">
        <v>116.62817222222218</v>
      </c>
      <c r="L24" s="102">
        <v>50.490000000000009</v>
      </c>
      <c r="T24">
        <v>2027</v>
      </c>
      <c r="V24" s="62"/>
      <c r="W24" s="62"/>
      <c r="X24" s="62"/>
      <c r="Y24" s="154">
        <f t="shared" si="28"/>
        <v>33786.837094474526</v>
      </c>
      <c r="Z24" s="93">
        <f t="shared" si="29"/>
        <v>8916.3377369787104</v>
      </c>
      <c r="AA24" s="154">
        <f t="shared" si="30"/>
        <v>21484.784183033695</v>
      </c>
      <c r="AB24" s="93">
        <f t="shared" si="32"/>
        <v>5581.3590180568708</v>
      </c>
      <c r="AC24" s="154">
        <f t="shared" si="33"/>
        <v>129989.95252381903</v>
      </c>
      <c r="AD24" s="93">
        <f t="shared" si="17"/>
        <v>2.5509953409572232</v>
      </c>
      <c r="AF24" s="98">
        <v>66743.783078173758</v>
      </c>
      <c r="AG24" s="98">
        <v>145794.67643106973</v>
      </c>
      <c r="AH24" s="98">
        <f t="shared" si="15"/>
        <v>66136.814839289465</v>
      </c>
      <c r="AI24" s="212">
        <f t="shared" si="18"/>
        <v>128799.75476493021</v>
      </c>
      <c r="AJ24" s="1">
        <f t="shared" si="7"/>
        <v>-0.11656750494709968</v>
      </c>
      <c r="AL24" s="475">
        <f t="shared" si="8"/>
        <v>33786.837094474526</v>
      </c>
      <c r="AM24" s="113">
        <f t="shared" si="9"/>
        <v>21484.784183033695</v>
      </c>
      <c r="AN24" s="56">
        <f t="shared" si="10"/>
        <v>55271.621277508224</v>
      </c>
      <c r="AO24" s="114">
        <f t="shared" si="11"/>
        <v>128799.75476493021</v>
      </c>
      <c r="AU24">
        <v>2027</v>
      </c>
      <c r="AV24" s="552">
        <f t="shared" si="35"/>
        <v>3209000.9842126123</v>
      </c>
      <c r="AW24" s="555">
        <v>2.5000000000000001E-2</v>
      </c>
      <c r="AX24" s="557">
        <f t="shared" si="34"/>
        <v>420097.78944226273</v>
      </c>
      <c r="AY24" s="552">
        <v>7638700</v>
      </c>
      <c r="BC24" s="560">
        <f t="shared" si="22"/>
        <v>3209000984212.6123</v>
      </c>
      <c r="BD24" s="562">
        <f t="shared" si="23"/>
        <v>411410382591.36053</v>
      </c>
      <c r="BE24" s="563">
        <f t="shared" si="24"/>
        <v>411.41038259136053</v>
      </c>
      <c r="BI24" s="563">
        <f t="shared" si="25"/>
        <v>53858.690954136247</v>
      </c>
      <c r="BJ24" s="563">
        <f t="shared" si="26"/>
        <v>53.85869095413625</v>
      </c>
      <c r="BO24" s="563">
        <f t="shared" si="27"/>
        <v>7.6387</v>
      </c>
    </row>
    <row r="25" spans="1:67">
      <c r="A25">
        <v>2028</v>
      </c>
      <c r="B25" s="467">
        <f t="shared" si="19"/>
        <v>7.6844999999999999</v>
      </c>
      <c r="C25" s="467">
        <f t="shared" si="16"/>
        <v>3.7846826117647083</v>
      </c>
      <c r="D25" s="467">
        <f t="shared" si="12"/>
        <v>3.915808352941184</v>
      </c>
      <c r="E25" s="467">
        <f t="shared" si="13"/>
        <v>3.7768232783345255</v>
      </c>
      <c r="F25" s="467">
        <f t="shared" si="14"/>
        <v>3.9076767216654744</v>
      </c>
      <c r="G25" s="55">
        <f t="shared" si="20"/>
        <v>421.69564215614452</v>
      </c>
      <c r="H25" s="55">
        <f t="shared" si="21"/>
        <v>54.876132755045163</v>
      </c>
      <c r="I25" s="551">
        <v>2.7</v>
      </c>
      <c r="J25" s="102">
        <v>2.8878360655737723</v>
      </c>
      <c r="K25" s="102">
        <v>117.26504444444444</v>
      </c>
      <c r="L25" s="102">
        <v>50.860000000000014</v>
      </c>
      <c r="T25">
        <v>2028</v>
      </c>
      <c r="V25" s="62"/>
      <c r="W25" s="62"/>
      <c r="X25" s="62"/>
      <c r="Y25" s="154">
        <f t="shared" si="28"/>
        <v>34123.315167083216</v>
      </c>
      <c r="Z25" s="93">
        <f t="shared" si="29"/>
        <v>9034.9250288805288</v>
      </c>
      <c r="AA25" s="154">
        <f t="shared" si="30"/>
        <v>22100.221661363084</v>
      </c>
      <c r="AB25" s="93">
        <f t="shared" si="32"/>
        <v>5655.5910929970278</v>
      </c>
      <c r="AC25" s="154">
        <f t="shared" si="33"/>
        <v>131718.81889238584</v>
      </c>
      <c r="AD25" s="93">
        <f t="shared" si="17"/>
        <v>2.5509953409572232</v>
      </c>
      <c r="AF25" s="98">
        <v>67147.727398747345</v>
      </c>
      <c r="AG25" s="98">
        <v>148332.72862057225</v>
      </c>
      <c r="AH25" s="98">
        <f t="shared" si="15"/>
        <v>66136.814839289465</v>
      </c>
      <c r="AI25" s="212">
        <f t="shared" si="18"/>
        <v>129743.62304108441</v>
      </c>
      <c r="AJ25" s="1">
        <f t="shared" si="7"/>
        <v>-0.12532032379069788</v>
      </c>
      <c r="AL25" s="475">
        <f t="shared" si="8"/>
        <v>34123.315167083216</v>
      </c>
      <c r="AM25" s="113">
        <f t="shared" si="9"/>
        <v>22100.221661363084</v>
      </c>
      <c r="AN25" s="56">
        <f t="shared" si="10"/>
        <v>56223.536828446304</v>
      </c>
      <c r="AO25" s="114">
        <f t="shared" si="11"/>
        <v>129743.62304108441</v>
      </c>
      <c r="AU25">
        <v>2028</v>
      </c>
      <c r="AV25" s="552">
        <f t="shared" si="35"/>
        <v>3289226.0088179274</v>
      </c>
      <c r="AW25" s="555">
        <v>2.5000000000000001E-2</v>
      </c>
      <c r="AX25" s="557">
        <f t="shared" si="34"/>
        <v>428033.83548935223</v>
      </c>
      <c r="AY25" s="552">
        <v>7684500</v>
      </c>
      <c r="BC25" s="560">
        <f t="shared" si="22"/>
        <v>3289226008817.9272</v>
      </c>
      <c r="BD25" s="562">
        <f t="shared" si="23"/>
        <v>421695642156.14453</v>
      </c>
      <c r="BE25" s="563">
        <f t="shared" si="24"/>
        <v>421.69564215614452</v>
      </c>
      <c r="BI25" s="563">
        <f t="shared" si="25"/>
        <v>54876.132755045161</v>
      </c>
      <c r="BJ25" s="563">
        <f t="shared" si="26"/>
        <v>54.876132755045163</v>
      </c>
      <c r="BO25" s="563">
        <f t="shared" si="27"/>
        <v>7.6844999999999999</v>
      </c>
    </row>
    <row r="26" spans="1:67">
      <c r="A26">
        <v>2029</v>
      </c>
      <c r="B26" s="467">
        <f t="shared" si="19"/>
        <v>7.7310999999999996</v>
      </c>
      <c r="C26" s="467">
        <f t="shared" si="16"/>
        <v>3.7662575294117673</v>
      </c>
      <c r="D26" s="467">
        <f t="shared" si="12"/>
        <v>3.9682259823529478</v>
      </c>
      <c r="E26" s="467">
        <f t="shared" si="13"/>
        <v>3.7646099498881531</v>
      </c>
      <c r="F26" s="467">
        <f t="shared" si="14"/>
        <v>3.9664900501118461</v>
      </c>
      <c r="G26" s="55">
        <f t="shared" si="20"/>
        <v>432.23803321004812</v>
      </c>
      <c r="H26" s="55">
        <f t="shared" si="21"/>
        <v>55.908995254239123</v>
      </c>
      <c r="I26" s="551">
        <v>2.7</v>
      </c>
      <c r="J26" s="102">
        <v>2.8750327868852494</v>
      </c>
      <c r="K26" s="102">
        <v>117.90191666666669</v>
      </c>
      <c r="L26" s="102">
        <v>51.230000000000018</v>
      </c>
      <c r="T26">
        <v>2029</v>
      </c>
      <c r="V26" s="62"/>
      <c r="W26" s="62"/>
      <c r="X26" s="62"/>
      <c r="Y26" s="154">
        <f t="shared" si="28"/>
        <v>34465.341143398044</v>
      </c>
      <c r="Z26" s="93">
        <f t="shared" si="29"/>
        <v>9155.0895317646409</v>
      </c>
      <c r="AA26" s="154">
        <f t="shared" si="30"/>
        <v>22731.202646985614</v>
      </c>
      <c r="AB26" s="93">
        <f t="shared" si="32"/>
        <v>5730.8104545338883</v>
      </c>
      <c r="AC26" s="154">
        <f t="shared" si="33"/>
        <v>133470.67918365457</v>
      </c>
      <c r="AD26" s="93">
        <f t="shared" si="17"/>
        <v>2.5509953409572232</v>
      </c>
      <c r="AF26" s="98">
        <v>67545.656184680731</v>
      </c>
      <c r="AG26" s="98">
        <v>150958.763207315</v>
      </c>
      <c r="AH26" s="98">
        <f t="shared" si="15"/>
        <v>66136.814839289465</v>
      </c>
      <c r="AI26" s="212">
        <f t="shared" si="18"/>
        <v>130687.4913172386</v>
      </c>
      <c r="AJ26" s="1">
        <f t="shared" si="7"/>
        <v>-0.13428350537184394</v>
      </c>
      <c r="AL26" s="475">
        <f t="shared" si="8"/>
        <v>34465.341143398044</v>
      </c>
      <c r="AM26" s="113">
        <f t="shared" si="9"/>
        <v>22731.202646985614</v>
      </c>
      <c r="AN26" s="56">
        <f t="shared" si="10"/>
        <v>57196.543790383657</v>
      </c>
      <c r="AO26" s="114">
        <f t="shared" si="11"/>
        <v>130687.4913172386</v>
      </c>
      <c r="AU26">
        <v>2029</v>
      </c>
      <c r="AV26" s="552">
        <f t="shared" si="35"/>
        <v>3371456.6590383751</v>
      </c>
      <c r="AW26" s="555">
        <v>2.5000000000000001E-2</v>
      </c>
      <c r="AX26" s="557">
        <f t="shared" si="34"/>
        <v>436090.16298306518</v>
      </c>
      <c r="AY26" s="552">
        <v>7731100</v>
      </c>
      <c r="BC26" s="560">
        <f t="shared" si="22"/>
        <v>3371456659038.375</v>
      </c>
      <c r="BD26" s="562">
        <f t="shared" si="23"/>
        <v>432238033210.0481</v>
      </c>
      <c r="BE26" s="563">
        <f t="shared" si="24"/>
        <v>432.23803321004812</v>
      </c>
      <c r="BI26" s="563">
        <f t="shared" si="25"/>
        <v>55908.995254239126</v>
      </c>
      <c r="BJ26" s="563">
        <f t="shared" si="26"/>
        <v>55.908995254239123</v>
      </c>
      <c r="BO26" s="563">
        <f t="shared" si="27"/>
        <v>7.7310999999999996</v>
      </c>
    </row>
    <row r="27" spans="1:67">
      <c r="A27">
        <v>2030</v>
      </c>
      <c r="B27" s="467">
        <f t="shared" si="19"/>
        <v>7.7770999999999999</v>
      </c>
      <c r="C27" s="467">
        <f t="shared" si="16"/>
        <v>3.7478324470588262</v>
      </c>
      <c r="D27" s="467">
        <f t="shared" si="12"/>
        <v>4.0206436117647115</v>
      </c>
      <c r="E27" s="467">
        <f t="shared" si="13"/>
        <v>3.7519929910725986</v>
      </c>
      <c r="F27" s="467">
        <f t="shared" si="14"/>
        <v>4.0251070089274013</v>
      </c>
      <c r="G27" s="55">
        <f t="shared" si="20"/>
        <v>443.04398404029934</v>
      </c>
      <c r="H27" s="55">
        <f t="shared" si="21"/>
        <v>56.967762281608742</v>
      </c>
      <c r="I27" s="551">
        <v>2.7</v>
      </c>
      <c r="J27" s="102">
        <v>2.8622295081967231</v>
      </c>
      <c r="K27" s="102">
        <v>118.5387888888888</v>
      </c>
      <c r="L27" s="102">
        <v>51.600000000000023</v>
      </c>
      <c r="T27">
        <v>2030</v>
      </c>
      <c r="V27" s="62"/>
      <c r="W27" s="62"/>
      <c r="X27" s="62"/>
      <c r="Y27" s="154">
        <f t="shared" si="28"/>
        <v>34806.684518175498</v>
      </c>
      <c r="Z27" s="93">
        <f t="shared" si="29"/>
        <v>9276.8522225371107</v>
      </c>
      <c r="AA27" s="154">
        <f t="shared" si="30"/>
        <v>23373.918094232919</v>
      </c>
      <c r="AB27" s="93">
        <f t="shared" si="32"/>
        <v>5807.0302335791894</v>
      </c>
      <c r="AC27" s="154">
        <f t="shared" si="33"/>
        <v>135245.83921679721</v>
      </c>
      <c r="AD27" s="93">
        <f t="shared" si="17"/>
        <v>2.5509953409572232</v>
      </c>
      <c r="AF27" s="98">
        <v>67916.939340117126</v>
      </c>
      <c r="AG27" s="98">
        <v>153672.78019129904</v>
      </c>
      <c r="AH27" s="98">
        <f t="shared" si="15"/>
        <v>66136.814839289465</v>
      </c>
      <c r="AI27" s="212">
        <f t="shared" si="18"/>
        <v>131631.35959339279</v>
      </c>
      <c r="AJ27" s="1">
        <f t="shared" si="7"/>
        <v>-0.14343087025866302</v>
      </c>
      <c r="AL27" s="475">
        <f t="shared" si="8"/>
        <v>34806.684518175498</v>
      </c>
      <c r="AM27" s="113">
        <f t="shared" si="9"/>
        <v>23373.918094232919</v>
      </c>
      <c r="AN27" s="56">
        <f t="shared" si="10"/>
        <v>58180.602612408416</v>
      </c>
      <c r="AO27" s="114">
        <f t="shared" si="11"/>
        <v>131631.35959339279</v>
      </c>
      <c r="AU27">
        <v>2030</v>
      </c>
      <c r="AV27" s="552">
        <f t="shared" si="35"/>
        <v>3455743.0755143343</v>
      </c>
      <c r="AW27" s="555">
        <v>2.5000000000000001E-2</v>
      </c>
      <c r="AX27" s="557">
        <f t="shared" si="34"/>
        <v>444348.54579654813</v>
      </c>
      <c r="AY27" s="552">
        <v>7777100</v>
      </c>
      <c r="BC27" s="560">
        <f t="shared" si="22"/>
        <v>3455743075514.3345</v>
      </c>
      <c r="BD27" s="562">
        <f t="shared" si="23"/>
        <v>443043984040.29932</v>
      </c>
      <c r="BE27" s="563">
        <f t="shared" si="24"/>
        <v>443.04398404029934</v>
      </c>
      <c r="BI27" s="563">
        <f t="shared" si="25"/>
        <v>56967.762281608739</v>
      </c>
      <c r="BJ27" s="563">
        <f t="shared" si="26"/>
        <v>56.967762281608742</v>
      </c>
      <c r="BO27" s="563">
        <f t="shared" si="27"/>
        <v>7.7770999999999999</v>
      </c>
    </row>
    <row r="28" spans="1:67">
      <c r="A28">
        <v>2031</v>
      </c>
      <c r="B28" s="467">
        <f t="shared" si="19"/>
        <v>7.8201999999999998</v>
      </c>
      <c r="C28" s="467">
        <f t="shared" si="16"/>
        <v>3.7294073647058852</v>
      </c>
      <c r="D28" s="467">
        <f t="shared" si="12"/>
        <v>4.0730612411764753</v>
      </c>
      <c r="E28" s="467">
        <f t="shared" si="13"/>
        <v>3.7378825787886401</v>
      </c>
      <c r="F28" s="467">
        <f t="shared" si="14"/>
        <v>4.0823174212113598</v>
      </c>
      <c r="G28" s="55">
        <f t="shared" si="20"/>
        <v>454.12008364130668</v>
      </c>
      <c r="H28" s="55">
        <f t="shared" si="21"/>
        <v>58.070136779277597</v>
      </c>
      <c r="I28" s="551">
        <v>2.6</v>
      </c>
      <c r="J28" s="102">
        <v>2.8494262295082002</v>
      </c>
      <c r="K28" s="102">
        <v>119.17566111111107</v>
      </c>
      <c r="L28" s="102">
        <v>51.970000000000027</v>
      </c>
      <c r="T28">
        <v>2031</v>
      </c>
      <c r="V28" s="62"/>
      <c r="W28" s="62"/>
      <c r="X28" s="62"/>
      <c r="Y28" s="154">
        <f t="shared" si="28"/>
        <v>35136.972239922768</v>
      </c>
      <c r="Z28" s="93">
        <f t="shared" si="29"/>
        <v>9400.2343570968551</v>
      </c>
      <c r="AA28" s="154">
        <f t="shared" si="30"/>
        <v>24021.432359192349</v>
      </c>
      <c r="AB28" s="93">
        <f t="shared" si="32"/>
        <v>5884.2637356857931</v>
      </c>
      <c r="AC28" s="154">
        <f t="shared" si="33"/>
        <v>137044.60887838062</v>
      </c>
      <c r="AD28" s="93">
        <f t="shared" si="17"/>
        <v>2.5509953409572232</v>
      </c>
      <c r="AF28" s="98">
        <v>68301.447427082458</v>
      </c>
      <c r="AG28" s="98">
        <v>156474.77957252355</v>
      </c>
      <c r="AH28" s="98">
        <f t="shared" si="15"/>
        <v>63687.303178575043</v>
      </c>
      <c r="AI28" s="212">
        <f t="shared" si="18"/>
        <v>132575.22786954694</v>
      </c>
      <c r="AJ28" s="1">
        <f t="shared" si="7"/>
        <v>-0.15273740450868983</v>
      </c>
      <c r="AL28" s="475">
        <f t="shared" si="8"/>
        <v>35136.972239922768</v>
      </c>
      <c r="AM28" s="113">
        <f t="shared" si="9"/>
        <v>24021.432359192349</v>
      </c>
      <c r="AN28" s="56">
        <f t="shared" si="10"/>
        <v>59158.404599115122</v>
      </c>
      <c r="AO28" s="114">
        <f t="shared" si="11"/>
        <v>132575.22786954694</v>
      </c>
      <c r="AU28">
        <v>2031</v>
      </c>
      <c r="AV28" s="552">
        <f t="shared" si="35"/>
        <v>3542136.6524021924</v>
      </c>
      <c r="AW28" s="555">
        <v>2.5000000000000001E-2</v>
      </c>
      <c r="AX28" s="557">
        <f t="shared" si="34"/>
        <v>452947.06687836529</v>
      </c>
      <c r="AY28" s="552">
        <v>7820200</v>
      </c>
      <c r="BC28" s="560">
        <f t="shared" si="22"/>
        <v>3542136652402.1924</v>
      </c>
      <c r="BD28" s="562">
        <f t="shared" si="23"/>
        <v>454120083641.3067</v>
      </c>
      <c r="BE28" s="563">
        <f t="shared" si="24"/>
        <v>454.12008364130668</v>
      </c>
      <c r="BI28" s="563">
        <f t="shared" si="25"/>
        <v>58070.1367792776</v>
      </c>
      <c r="BJ28" s="563">
        <f t="shared" si="26"/>
        <v>58.070136779277597</v>
      </c>
      <c r="BO28" s="563">
        <f t="shared" si="27"/>
        <v>7.8201999999999998</v>
      </c>
    </row>
    <row r="29" spans="1:67">
      <c r="A29">
        <v>2032</v>
      </c>
      <c r="B29" s="467">
        <f t="shared" si="19"/>
        <v>7.8620999999999999</v>
      </c>
      <c r="C29" s="467">
        <f t="shared" si="16"/>
        <v>3.7109822823529441</v>
      </c>
      <c r="D29" s="467">
        <f t="shared" si="12"/>
        <v>4.125478870588239</v>
      </c>
      <c r="E29" s="467">
        <f t="shared" si="13"/>
        <v>3.7231236437810571</v>
      </c>
      <c r="F29" s="467">
        <f t="shared" si="14"/>
        <v>4.1389763562189428</v>
      </c>
      <c r="G29" s="55">
        <f t="shared" si="20"/>
        <v>465.47308573233937</v>
      </c>
      <c r="H29" s="55">
        <f t="shared" si="21"/>
        <v>59.204676324689252</v>
      </c>
      <c r="I29" s="551">
        <v>2.6</v>
      </c>
      <c r="J29" s="102">
        <v>2.8366229508196739</v>
      </c>
      <c r="K29" s="102">
        <v>119.81253333333332</v>
      </c>
      <c r="L29" s="102">
        <v>52.340000000000032</v>
      </c>
      <c r="T29">
        <v>2032</v>
      </c>
      <c r="V29" s="62"/>
      <c r="W29" s="62"/>
      <c r="X29" s="62"/>
      <c r="Y29" s="154">
        <f t="shared" si="28"/>
        <v>35463.711314723798</v>
      </c>
      <c r="Z29" s="93">
        <f t="shared" si="29"/>
        <v>9525.2574740462442</v>
      </c>
      <c r="AA29" s="154">
        <f t="shared" si="30"/>
        <v>24678.747694487658</v>
      </c>
      <c r="AB29" s="93">
        <f t="shared" si="32"/>
        <v>5962.5244433704147</v>
      </c>
      <c r="AC29" s="154">
        <f t="shared" si="33"/>
        <v>138867.3021764631</v>
      </c>
      <c r="AD29" s="93">
        <f t="shared" si="17"/>
        <v>2.5509953409572232</v>
      </c>
      <c r="AF29" s="98">
        <v>68678.990565792541</v>
      </c>
      <c r="AG29" s="98">
        <v>159364.76135098923</v>
      </c>
      <c r="AH29" s="98">
        <f t="shared" si="15"/>
        <v>63687.303178575043</v>
      </c>
      <c r="AI29" s="212">
        <f t="shared" si="18"/>
        <v>133519.09614570116</v>
      </c>
      <c r="AJ29" s="1">
        <f t="shared" si="7"/>
        <v>-0.16217929852362331</v>
      </c>
      <c r="AL29" s="475">
        <f t="shared" si="8"/>
        <v>35463.711314723798</v>
      </c>
      <c r="AM29" s="113">
        <f t="shared" si="9"/>
        <v>24678.747694487658</v>
      </c>
      <c r="AN29" s="56">
        <f t="shared" si="10"/>
        <v>60142.459009211452</v>
      </c>
      <c r="AO29" s="114">
        <f t="shared" si="11"/>
        <v>133519.09614570116</v>
      </c>
      <c r="AU29">
        <v>2032</v>
      </c>
      <c r="AV29" s="552">
        <f t="shared" si="35"/>
        <v>3630690.0687122471</v>
      </c>
      <c r="AW29" s="555">
        <v>2.5000000000000001E-2</v>
      </c>
      <c r="AX29" s="557">
        <f t="shared" si="34"/>
        <v>461796.47533257614</v>
      </c>
      <c r="AY29" s="552">
        <v>7862100</v>
      </c>
      <c r="BC29" s="560">
        <f t="shared" si="22"/>
        <v>3630690068712.2471</v>
      </c>
      <c r="BD29" s="562">
        <f t="shared" si="23"/>
        <v>465473085732.33936</v>
      </c>
      <c r="BE29" s="563">
        <f t="shared" si="24"/>
        <v>465.47308573233937</v>
      </c>
      <c r="BI29" s="563">
        <f t="shared" si="25"/>
        <v>59204.676324689251</v>
      </c>
      <c r="BJ29" s="563">
        <f t="shared" si="26"/>
        <v>59.204676324689252</v>
      </c>
      <c r="BO29" s="563">
        <f t="shared" si="27"/>
        <v>7.8620999999999999</v>
      </c>
    </row>
    <row r="30" spans="1:67">
      <c r="A30">
        <v>2033</v>
      </c>
      <c r="B30" s="467">
        <f t="shared" si="19"/>
        <v>7.9036</v>
      </c>
      <c r="C30" s="467">
        <f t="shared" si="16"/>
        <v>3.6925572000000031</v>
      </c>
      <c r="D30" s="467">
        <f t="shared" si="12"/>
        <v>4.1778965000000028</v>
      </c>
      <c r="E30" s="467">
        <f t="shared" si="13"/>
        <v>3.7081083503381769</v>
      </c>
      <c r="F30" s="467">
        <f t="shared" si="14"/>
        <v>4.1954916496618226</v>
      </c>
      <c r="G30" s="55">
        <f t="shared" si="20"/>
        <v>477.10991287564781</v>
      </c>
      <c r="H30" s="55">
        <f t="shared" si="21"/>
        <v>60.366151231799151</v>
      </c>
      <c r="I30" s="551">
        <v>2.6</v>
      </c>
      <c r="J30" s="102">
        <v>2.823819672131151</v>
      </c>
      <c r="K30" s="102">
        <v>120.44940555555559</v>
      </c>
      <c r="L30" s="102">
        <v>52.710000000000036</v>
      </c>
      <c r="T30">
        <v>2033</v>
      </c>
      <c r="V30" s="62"/>
      <c r="W30" s="62"/>
      <c r="X30" s="62"/>
      <c r="Y30" s="154">
        <f t="shared" si="28"/>
        <v>35790.451912787816</v>
      </c>
      <c r="Z30" s="93">
        <f t="shared" si="29"/>
        <v>9651.9433984510597</v>
      </c>
      <c r="AA30" s="154">
        <f t="shared" si="30"/>
        <v>25348.43060918885</v>
      </c>
      <c r="AB30" s="93">
        <f t="shared" si="32"/>
        <v>6041.8260184672417</v>
      </c>
      <c r="AC30" s="154">
        <f t="shared" si="33"/>
        <v>140714.23729541007</v>
      </c>
      <c r="AD30" s="93">
        <f t="shared" si="17"/>
        <v>2.5509953409572232</v>
      </c>
      <c r="AF30" s="98">
        <v>69047.855184966029</v>
      </c>
      <c r="AG30" s="98">
        <v>162342.72552669549</v>
      </c>
      <c r="AH30" s="98">
        <f t="shared" si="15"/>
        <v>63687.303178575043</v>
      </c>
      <c r="AI30" s="212">
        <f t="shared" si="18"/>
        <v>134462.96442185534</v>
      </c>
      <c r="AJ30" s="1">
        <f t="shared" si="7"/>
        <v>-0.17173397215297845</v>
      </c>
      <c r="AL30" s="475">
        <f t="shared" si="8"/>
        <v>35790.451912787816</v>
      </c>
      <c r="AM30" s="113">
        <f t="shared" si="9"/>
        <v>25348.43060918885</v>
      </c>
      <c r="AN30" s="56">
        <f t="shared" si="10"/>
        <v>61138.882521976666</v>
      </c>
      <c r="AO30" s="114">
        <f t="shared" si="11"/>
        <v>134462.96442185534</v>
      </c>
      <c r="AU30">
        <v>2033</v>
      </c>
      <c r="AV30" s="552">
        <f t="shared" si="35"/>
        <v>3721457.3204300529</v>
      </c>
      <c r="AW30" s="555">
        <v>2.5000000000000001E-2</v>
      </c>
      <c r="AX30" s="557">
        <f t="shared" si="34"/>
        <v>470855.97960803338</v>
      </c>
      <c r="AY30" s="552">
        <v>7903600</v>
      </c>
      <c r="BC30" s="560">
        <f t="shared" si="22"/>
        <v>3721457320430.0527</v>
      </c>
      <c r="BD30" s="562">
        <f t="shared" si="23"/>
        <v>477109912875.64783</v>
      </c>
      <c r="BE30" s="563">
        <f t="shared" si="24"/>
        <v>477.10991287564781</v>
      </c>
      <c r="BI30" s="563">
        <f t="shared" si="25"/>
        <v>60366.151231799151</v>
      </c>
      <c r="BJ30" s="563">
        <f t="shared" si="26"/>
        <v>60.366151231799151</v>
      </c>
      <c r="BO30" s="563">
        <f t="shared" si="27"/>
        <v>7.9036</v>
      </c>
    </row>
    <row r="31" spans="1:67">
      <c r="A31">
        <v>2034</v>
      </c>
      <c r="B31" s="467">
        <f t="shared" si="19"/>
        <v>7.9451000000000001</v>
      </c>
      <c r="C31" s="467">
        <f t="shared" si="16"/>
        <v>3.674132117647062</v>
      </c>
      <c r="D31" s="467">
        <f t="shared" si="12"/>
        <v>4.2303141294117665</v>
      </c>
      <c r="E31" s="467">
        <f t="shared" si="13"/>
        <v>3.6930287303528067</v>
      </c>
      <c r="F31" s="467">
        <f t="shared" si="14"/>
        <v>4.2520712696471934</v>
      </c>
      <c r="G31" s="55">
        <f t="shared" si="20"/>
        <v>489.03766069753897</v>
      </c>
      <c r="H31" s="55">
        <f t="shared" si="21"/>
        <v>61.552108934757136</v>
      </c>
      <c r="I31" s="551">
        <v>2.6</v>
      </c>
      <c r="J31" s="102">
        <v>2.8110163934426247</v>
      </c>
      <c r="K31" s="102">
        <v>121.0862777777777</v>
      </c>
      <c r="L31" s="102">
        <v>53.080000000000041</v>
      </c>
      <c r="T31">
        <v>2034</v>
      </c>
      <c r="V31" s="62"/>
      <c r="W31" s="62"/>
      <c r="X31" s="62"/>
      <c r="Y31" s="154">
        <f t="shared" si="28"/>
        <v>36118.98150106598</v>
      </c>
      <c r="Z31" s="93">
        <f t="shared" si="29"/>
        <v>9780.3142456504593</v>
      </c>
      <c r="AA31" s="154">
        <f t="shared" si="30"/>
        <v>26031.955484561564</v>
      </c>
      <c r="AB31" s="93">
        <f t="shared" si="32"/>
        <v>6122.1823045128567</v>
      </c>
      <c r="AC31" s="154">
        <f t="shared" si="33"/>
        <v>142585.73665143905</v>
      </c>
      <c r="AD31" s="93">
        <f t="shared" si="17"/>
        <v>2.5509953409572232</v>
      </c>
      <c r="AF31" s="98">
        <v>69409.534151050844</v>
      </c>
      <c r="AG31" s="98">
        <v>165408.67209964269</v>
      </c>
      <c r="AH31" s="98">
        <f t="shared" si="15"/>
        <v>63687.303178575043</v>
      </c>
      <c r="AI31" s="212">
        <f t="shared" si="18"/>
        <v>135406.8326980095</v>
      </c>
      <c r="AJ31" s="1">
        <f t="shared" si="7"/>
        <v>-0.1813800873968687</v>
      </c>
      <c r="AL31" s="475">
        <f t="shared" si="8"/>
        <v>36118.98150106598</v>
      </c>
      <c r="AM31" s="113">
        <f t="shared" si="9"/>
        <v>26031.955484561564</v>
      </c>
      <c r="AN31" s="56">
        <f t="shared" si="10"/>
        <v>62150.936985627544</v>
      </c>
      <c r="AO31" s="114">
        <f t="shared" si="11"/>
        <v>135406.8326980095</v>
      </c>
      <c r="AU31">
        <v>2034</v>
      </c>
      <c r="AV31" s="552">
        <f t="shared" si="35"/>
        <v>3814493.7534408038</v>
      </c>
      <c r="AW31" s="555">
        <v>2.5000000000000001E-2</v>
      </c>
      <c r="AX31" s="557">
        <f t="shared" si="34"/>
        <v>480106.44969110569</v>
      </c>
      <c r="AY31" s="552">
        <v>7945100</v>
      </c>
      <c r="BC31" s="560">
        <f t="shared" si="22"/>
        <v>3814493753440.8037</v>
      </c>
      <c r="BD31" s="562">
        <f t="shared" si="23"/>
        <v>489037660697.53894</v>
      </c>
      <c r="BE31" s="563">
        <f t="shared" si="24"/>
        <v>489.03766069753897</v>
      </c>
      <c r="BI31" s="563">
        <f t="shared" si="25"/>
        <v>61552.10893475714</v>
      </c>
      <c r="BJ31" s="563">
        <f t="shared" si="26"/>
        <v>61.552108934757136</v>
      </c>
      <c r="BO31" s="563">
        <f t="shared" si="27"/>
        <v>7.9451000000000001</v>
      </c>
    </row>
    <row r="32" spans="1:67">
      <c r="A32">
        <v>2035</v>
      </c>
      <c r="B32" s="467">
        <f t="shared" si="19"/>
        <v>7.9878999999999998</v>
      </c>
      <c r="C32" s="467">
        <f t="shared" si="16"/>
        <v>3.655707035294121</v>
      </c>
      <c r="D32" s="467">
        <f t="shared" si="12"/>
        <v>4.2827317588235303</v>
      </c>
      <c r="E32" s="467">
        <f t="shared" si="13"/>
        <v>3.6784842693331634</v>
      </c>
      <c r="F32" s="467">
        <f t="shared" si="14"/>
        <v>4.3094157306668359</v>
      </c>
      <c r="G32" s="55">
        <f t="shared" si="20"/>
        <v>501.26360221497742</v>
      </c>
      <c r="H32" s="55">
        <f t="shared" si="21"/>
        <v>62.752863983647444</v>
      </c>
      <c r="I32" s="551">
        <v>2.6</v>
      </c>
      <c r="J32" s="102">
        <v>2.7982131147541018</v>
      </c>
      <c r="K32" s="102">
        <v>121.72314999999995</v>
      </c>
      <c r="L32" s="102">
        <v>53.450000000000045</v>
      </c>
      <c r="T32">
        <v>2035</v>
      </c>
      <c r="V32" s="62"/>
      <c r="W32" s="62"/>
      <c r="X32" s="62"/>
      <c r="Y32" s="154">
        <f t="shared" si="28"/>
        <v>36455.222638713669</v>
      </c>
      <c r="Z32" s="93">
        <f t="shared" si="29"/>
        <v>9910.3924251176104</v>
      </c>
      <c r="AA32" s="154">
        <f t="shared" si="30"/>
        <v>26733.923011174582</v>
      </c>
      <c r="AB32" s="93">
        <f t="shared" si="32"/>
        <v>6203.6073291628782</v>
      </c>
      <c r="AC32" s="154">
        <f t="shared" si="33"/>
        <v>144482.1269489032</v>
      </c>
      <c r="AD32" s="93">
        <f t="shared" si="17"/>
        <v>2.5509953409572232</v>
      </c>
      <c r="AF32" s="98">
        <v>69766.954977472575</v>
      </c>
      <c r="AG32" s="98">
        <v>168562.60106983059</v>
      </c>
      <c r="AH32" s="98">
        <f t="shared" si="15"/>
        <v>63687.303178575043</v>
      </c>
      <c r="AI32" s="212">
        <f t="shared" si="18"/>
        <v>136350.70097416369</v>
      </c>
      <c r="AJ32" s="1">
        <f t="shared" si="7"/>
        <v>-0.19109755005692189</v>
      </c>
      <c r="AL32" s="475">
        <f t="shared" si="8"/>
        <v>36455.222638713669</v>
      </c>
      <c r="AM32" s="113">
        <f t="shared" si="9"/>
        <v>26733.923011174582</v>
      </c>
      <c r="AN32" s="56">
        <f t="shared" si="10"/>
        <v>63189.145649888247</v>
      </c>
      <c r="AO32" s="114">
        <f t="shared" si="11"/>
        <v>136350.70097416369</v>
      </c>
      <c r="AU32">
        <v>2035</v>
      </c>
      <c r="AV32" s="552">
        <f t="shared" si="35"/>
        <v>3909856.0972768236</v>
      </c>
      <c r="AW32" s="555">
        <v>2.5000000000000001E-2</v>
      </c>
      <c r="AX32" s="557">
        <f t="shared" si="34"/>
        <v>489472.33907245006</v>
      </c>
      <c r="AY32" s="552">
        <v>7987900</v>
      </c>
      <c r="BC32" s="560">
        <f t="shared" si="22"/>
        <v>3909856097276.8237</v>
      </c>
      <c r="BD32" s="562">
        <f t="shared" si="23"/>
        <v>501263602214.97742</v>
      </c>
      <c r="BE32" s="563">
        <f t="shared" si="24"/>
        <v>501.26360221497742</v>
      </c>
      <c r="BI32" s="563">
        <f t="shared" si="25"/>
        <v>62752.863983647447</v>
      </c>
      <c r="BJ32" s="563">
        <f t="shared" si="26"/>
        <v>62.752863983647444</v>
      </c>
      <c r="BO32" s="563">
        <f t="shared" si="27"/>
        <v>7.9878999999999998</v>
      </c>
    </row>
    <row r="33" spans="1:67">
      <c r="A33">
        <v>2036</v>
      </c>
      <c r="B33" s="467">
        <f t="shared" si="19"/>
        <v>8.0223999999999993</v>
      </c>
      <c r="C33" s="467">
        <f t="shared" si="16"/>
        <v>3.63728195294118</v>
      </c>
      <c r="D33" s="467">
        <f t="shared" si="12"/>
        <v>4.3351493882352941</v>
      </c>
      <c r="E33" s="467">
        <f t="shared" si="13"/>
        <v>3.6600792770163051</v>
      </c>
      <c r="F33" s="467">
        <f t="shared" si="14"/>
        <v>4.3623207229836947</v>
      </c>
      <c r="G33" s="55">
        <f t="shared" si="20"/>
        <v>513.79519227035178</v>
      </c>
      <c r="H33" s="55">
        <f t="shared" si="21"/>
        <v>64.045072829870335</v>
      </c>
      <c r="I33" s="551">
        <v>2.6</v>
      </c>
      <c r="J33" s="102">
        <v>2.7854098360655755</v>
      </c>
      <c r="K33" s="102">
        <v>122.36002222222221</v>
      </c>
      <c r="L33" s="102">
        <v>53.819999999999936</v>
      </c>
      <c r="T33">
        <v>2036</v>
      </c>
      <c r="V33" s="62"/>
      <c r="W33" s="62"/>
      <c r="X33" s="62"/>
      <c r="Y33" s="154">
        <f t="shared" si="28"/>
        <v>36755.250474104556</v>
      </c>
      <c r="Z33" s="93">
        <f t="shared" si="29"/>
        <v>10042.200644371676</v>
      </c>
      <c r="AA33" s="154">
        <f t="shared" si="30"/>
        <v>27422.051069223926</v>
      </c>
      <c r="AB33" s="93">
        <f t="shared" si="32"/>
        <v>6286.1153066407451</v>
      </c>
      <c r="AC33" s="154">
        <f t="shared" si="33"/>
        <v>146403.73923732364</v>
      </c>
      <c r="AD33" s="93">
        <f t="shared" si="17"/>
        <v>2.5509953409572232</v>
      </c>
      <c r="AF33" s="98">
        <v>70122.523690213275</v>
      </c>
      <c r="AG33" s="98">
        <v>171804.51243725861</v>
      </c>
      <c r="AH33" s="98">
        <f t="shared" si="15"/>
        <v>63687.303178575043</v>
      </c>
      <c r="AI33" s="212">
        <f t="shared" si="18"/>
        <v>137294.56925031758</v>
      </c>
      <c r="AJ33" s="1">
        <f t="shared" si="7"/>
        <v>-0.20086750165857103</v>
      </c>
      <c r="AL33" s="475">
        <f t="shared" si="8"/>
        <v>36755.250474104556</v>
      </c>
      <c r="AM33" s="113">
        <f t="shared" si="9"/>
        <v>27422.051069223926</v>
      </c>
      <c r="AN33" s="56">
        <f t="shared" si="10"/>
        <v>64177.301543328482</v>
      </c>
      <c r="AO33" s="114">
        <f t="shared" si="11"/>
        <v>137294.56925031758</v>
      </c>
      <c r="AU33">
        <v>2036</v>
      </c>
      <c r="AV33" s="552">
        <f t="shared" si="35"/>
        <v>4007602.4997087438</v>
      </c>
      <c r="AW33" s="555">
        <v>2.5000000000000001E-2</v>
      </c>
      <c r="AX33" s="557">
        <f t="shared" si="34"/>
        <v>499551.56807298859</v>
      </c>
      <c r="AY33" s="552">
        <v>8022400</v>
      </c>
      <c r="BC33" s="560">
        <f t="shared" si="22"/>
        <v>4007602499708.7437</v>
      </c>
      <c r="BD33" s="562">
        <f t="shared" si="23"/>
        <v>513795192270.35175</v>
      </c>
      <c r="BE33" s="563">
        <f t="shared" si="24"/>
        <v>513.79519227035178</v>
      </c>
      <c r="BI33" s="563">
        <f t="shared" si="25"/>
        <v>64045.072829870332</v>
      </c>
      <c r="BJ33" s="563">
        <f t="shared" si="26"/>
        <v>64.045072829870335</v>
      </c>
      <c r="BO33" s="563">
        <f t="shared" si="27"/>
        <v>8.0223999999999993</v>
      </c>
    </row>
    <row r="34" spans="1:67">
      <c r="A34">
        <v>2037</v>
      </c>
      <c r="B34" s="467">
        <f t="shared" si="19"/>
        <v>8.0571999999999999</v>
      </c>
      <c r="C34" s="467">
        <f t="shared" si="16"/>
        <v>3.6188568705882389</v>
      </c>
      <c r="D34" s="467">
        <f t="shared" si="12"/>
        <v>4.3875670176470578</v>
      </c>
      <c r="E34" s="467">
        <f t="shared" si="13"/>
        <v>3.6418073767675905</v>
      </c>
      <c r="F34" s="467">
        <f t="shared" si="14"/>
        <v>4.4153926232324094</v>
      </c>
      <c r="G34" s="55">
        <f t="shared" si="20"/>
        <v>526.64007207711063</v>
      </c>
      <c r="H34" s="55">
        <f t="shared" si="21"/>
        <v>65.362665948109836</v>
      </c>
      <c r="I34" s="551">
        <v>2.6</v>
      </c>
      <c r="J34" s="102">
        <v>2.7726065573770526</v>
      </c>
      <c r="K34" s="102">
        <v>122.99689444444448</v>
      </c>
      <c r="L34" s="102">
        <v>54.189999999999941</v>
      </c>
      <c r="T34">
        <v>2037</v>
      </c>
      <c r="V34" s="62"/>
      <c r="W34" s="62"/>
      <c r="X34" s="62"/>
      <c r="Y34" s="154">
        <f t="shared" si="28"/>
        <v>37058.164798782207</v>
      </c>
      <c r="Z34" s="93">
        <f t="shared" si="29"/>
        <v>10175.76191294182</v>
      </c>
      <c r="AA34" s="154">
        <f t="shared" si="30"/>
        <v>28124.817526874493</v>
      </c>
      <c r="AB34" s="93">
        <f t="shared" si="32"/>
        <v>6369.7206402190677</v>
      </c>
      <c r="AC34" s="154">
        <f t="shared" si="33"/>
        <v>148350.90896918005</v>
      </c>
      <c r="AD34" s="93">
        <f t="shared" si="17"/>
        <v>2.5509953409572232</v>
      </c>
      <c r="AF34" s="98">
        <v>70468.89613578812</v>
      </c>
      <c r="AG34" s="98">
        <v>175134.40620192804</v>
      </c>
      <c r="AH34" s="98">
        <f t="shared" si="15"/>
        <v>63687.303178575043</v>
      </c>
      <c r="AI34" s="212">
        <f t="shared" si="18"/>
        <v>138238.4375264718</v>
      </c>
      <c r="AJ34" s="1">
        <f t="shared" si="7"/>
        <v>-0.21067230292210884</v>
      </c>
      <c r="AL34" s="475">
        <f t="shared" si="8"/>
        <v>37058.164798782207</v>
      </c>
      <c r="AM34" s="113">
        <f t="shared" si="9"/>
        <v>28124.817526874493</v>
      </c>
      <c r="AN34" s="56">
        <f t="shared" si="10"/>
        <v>65182.982325656703</v>
      </c>
      <c r="AO34" s="114">
        <f t="shared" si="11"/>
        <v>138238.4375264718</v>
      </c>
      <c r="AU34">
        <v>2037</v>
      </c>
      <c r="AV34" s="552">
        <f t="shared" si="35"/>
        <v>4107792.5622014622</v>
      </c>
      <c r="AW34" s="555">
        <v>2.5000000000000001E-2</v>
      </c>
      <c r="AX34" s="557">
        <f t="shared" si="34"/>
        <v>509828.79439525673</v>
      </c>
      <c r="AY34" s="552">
        <v>8057200</v>
      </c>
      <c r="BC34" s="560">
        <f t="shared" si="22"/>
        <v>4107792562201.4624</v>
      </c>
      <c r="BD34" s="562">
        <f t="shared" si="23"/>
        <v>526640072077.1106</v>
      </c>
      <c r="BE34" s="563">
        <f t="shared" si="24"/>
        <v>526.64007207711063</v>
      </c>
      <c r="BI34" s="563">
        <f t="shared" si="25"/>
        <v>65362.66594810984</v>
      </c>
      <c r="BJ34" s="563">
        <f t="shared" si="26"/>
        <v>65.362665948109836</v>
      </c>
      <c r="BO34" s="563">
        <f t="shared" si="27"/>
        <v>8.0571999999999999</v>
      </c>
    </row>
    <row r="35" spans="1:67">
      <c r="A35">
        <v>2038</v>
      </c>
      <c r="B35" s="467">
        <f t="shared" si="19"/>
        <v>8.0885999999999996</v>
      </c>
      <c r="C35" s="467">
        <f t="shared" si="16"/>
        <v>3.6004317882352979</v>
      </c>
      <c r="D35" s="467">
        <f t="shared" si="12"/>
        <v>4.4399846470588216</v>
      </c>
      <c r="E35" s="467">
        <f t="shared" si="13"/>
        <v>3.6220079888504837</v>
      </c>
      <c r="F35" s="467">
        <f t="shared" si="14"/>
        <v>4.4665920111495163</v>
      </c>
      <c r="G35" s="55">
        <f t="shared" si="20"/>
        <v>539.80607387903831</v>
      </c>
      <c r="H35" s="55">
        <f t="shared" si="21"/>
        <v>66.736650826971072</v>
      </c>
      <c r="I35" s="551">
        <v>2.6</v>
      </c>
      <c r="J35" s="102">
        <v>2.7598032786885263</v>
      </c>
      <c r="K35" s="102">
        <v>123.63376666666657</v>
      </c>
      <c r="L35" s="102">
        <v>54.559999999999945</v>
      </c>
      <c r="T35">
        <v>2038</v>
      </c>
      <c r="V35" s="62"/>
      <c r="W35" s="62"/>
      <c r="X35" s="62"/>
      <c r="Y35" s="154">
        <f t="shared" si="28"/>
        <v>37346.884930835251</v>
      </c>
      <c r="Z35" s="93">
        <f t="shared" si="29"/>
        <v>10311.099546383946</v>
      </c>
      <c r="AA35" s="154">
        <f t="shared" si="30"/>
        <v>28829.340871077267</v>
      </c>
      <c r="AB35" s="93">
        <f t="shared" si="32"/>
        <v>6454.4379247339821</v>
      </c>
      <c r="AC35" s="154">
        <f t="shared" si="33"/>
        <v>150323.97605847014</v>
      </c>
      <c r="AD35" s="93">
        <f t="shared" si="17"/>
        <v>2.5509953409572232</v>
      </c>
      <c r="AF35" s="98">
        <v>70810.13765477523</v>
      </c>
      <c r="AG35" s="98">
        <v>178552.28236383852</v>
      </c>
      <c r="AH35" s="98">
        <f t="shared" si="15"/>
        <v>63687.303178575043</v>
      </c>
      <c r="AI35" s="212">
        <f t="shared" si="18"/>
        <v>139182.30580262595</v>
      </c>
      <c r="AJ35" s="1">
        <f t="shared" si="7"/>
        <v>-0.22049550999851014</v>
      </c>
      <c r="AL35" s="475">
        <f t="shared" si="8"/>
        <v>37346.884930835251</v>
      </c>
      <c r="AM35" s="113">
        <f t="shared" si="9"/>
        <v>28829.340871077267</v>
      </c>
      <c r="AN35" s="56">
        <f t="shared" si="10"/>
        <v>66176.225801912515</v>
      </c>
      <c r="AO35" s="114">
        <f t="shared" si="11"/>
        <v>139182.30580262595</v>
      </c>
      <c r="AU35">
        <v>2038</v>
      </c>
      <c r="AV35" s="552">
        <f t="shared" si="35"/>
        <v>4210487.3762564985</v>
      </c>
      <c r="AW35" s="555">
        <v>2.5000000000000001E-2</v>
      </c>
      <c r="AX35" s="557">
        <f t="shared" si="34"/>
        <v>520545.87645037443</v>
      </c>
      <c r="AY35" s="552">
        <v>8088600</v>
      </c>
      <c r="BC35" s="560">
        <f t="shared" si="22"/>
        <v>4210487376256.4985</v>
      </c>
      <c r="BD35" s="562">
        <f t="shared" si="23"/>
        <v>539806073879.03827</v>
      </c>
      <c r="BE35" s="563">
        <f t="shared" si="24"/>
        <v>539.80607387903831</v>
      </c>
      <c r="BI35" s="563">
        <f t="shared" si="25"/>
        <v>66736.650826971076</v>
      </c>
      <c r="BJ35" s="563">
        <f t="shared" si="26"/>
        <v>66.736650826971072</v>
      </c>
      <c r="BO35" s="563">
        <f t="shared" si="27"/>
        <v>8.0885999999999996</v>
      </c>
    </row>
    <row r="36" spans="1:67">
      <c r="A36">
        <v>2039</v>
      </c>
      <c r="B36" s="467">
        <f t="shared" si="19"/>
        <v>8.1152999999999995</v>
      </c>
      <c r="C36" s="467">
        <f t="shared" si="16"/>
        <v>3.5820067058823568</v>
      </c>
      <c r="D36" s="467">
        <f t="shared" si="12"/>
        <v>4.4924022764705853</v>
      </c>
      <c r="E36" s="467">
        <f t="shared" si="13"/>
        <v>3.6001469684999967</v>
      </c>
      <c r="F36" s="467">
        <f t="shared" si="14"/>
        <v>4.5151530315000032</v>
      </c>
      <c r="G36" s="55">
        <f t="shared" si="20"/>
        <v>553.3012257260142</v>
      </c>
      <c r="H36" s="55">
        <f t="shared" si="21"/>
        <v>68.180008838368778</v>
      </c>
      <c r="I36" s="551">
        <v>2.6</v>
      </c>
      <c r="J36" s="102">
        <v>2.7470000000000034</v>
      </c>
      <c r="K36" s="102">
        <v>124.27063888888884</v>
      </c>
      <c r="L36" s="102">
        <v>54.92999999999995</v>
      </c>
      <c r="T36">
        <v>2039</v>
      </c>
      <c r="V36" s="62"/>
      <c r="W36" s="62"/>
      <c r="X36" s="62"/>
      <c r="Y36" s="154">
        <f t="shared" si="28"/>
        <v>37615.189375007612</v>
      </c>
      <c r="Z36" s="93">
        <f t="shared" si="29"/>
        <v>10448.237170350854</v>
      </c>
      <c r="AA36" s="154">
        <f t="shared" si="30"/>
        <v>29530.373869492367</v>
      </c>
      <c r="AB36" s="93">
        <f t="shared" si="32"/>
        <v>6540.2819491329446</v>
      </c>
      <c r="AC36" s="154">
        <f t="shared" si="33"/>
        <v>152323.2849400478</v>
      </c>
      <c r="AD36" s="93">
        <f t="shared" si="17"/>
        <v>2.5509953409572232</v>
      </c>
      <c r="AF36" s="98">
        <v>71146.740118657792</v>
      </c>
      <c r="AG36" s="98">
        <v>182058.14092298946</v>
      </c>
      <c r="AH36" s="98">
        <f t="shared" si="15"/>
        <v>63687.303178575043</v>
      </c>
      <c r="AI36" s="212">
        <f t="shared" si="18"/>
        <v>140126.17407878014</v>
      </c>
      <c r="AJ36" s="1">
        <f t="shared" si="7"/>
        <v>-0.23032184461307079</v>
      </c>
      <c r="AL36" s="475">
        <f t="shared" si="8"/>
        <v>37615.189375007612</v>
      </c>
      <c r="AM36" s="113">
        <f t="shared" si="9"/>
        <v>29530.373869492367</v>
      </c>
      <c r="AN36" s="56">
        <f t="shared" si="10"/>
        <v>67145.563244499979</v>
      </c>
      <c r="AO36" s="114">
        <f t="shared" si="11"/>
        <v>140126.17407878014</v>
      </c>
      <c r="AU36">
        <v>2039</v>
      </c>
      <c r="AV36" s="552">
        <f t="shared" si="35"/>
        <v>4315749.5606629103</v>
      </c>
      <c r="AW36" s="555">
        <v>2.5000000000000001E-2</v>
      </c>
      <c r="AX36" s="557">
        <f t="shared" si="34"/>
        <v>531804.06893927651</v>
      </c>
      <c r="AY36" s="552">
        <v>8115300</v>
      </c>
      <c r="BC36" s="560">
        <f t="shared" si="22"/>
        <v>4315749560662.9102</v>
      </c>
      <c r="BD36" s="562">
        <f t="shared" si="23"/>
        <v>553301225726.01416</v>
      </c>
      <c r="BE36" s="563">
        <f t="shared" si="24"/>
        <v>553.3012257260142</v>
      </c>
      <c r="BI36" s="563">
        <f t="shared" si="25"/>
        <v>68180.008838368783</v>
      </c>
      <c r="BJ36" s="563">
        <f t="shared" si="26"/>
        <v>68.180008838368778</v>
      </c>
      <c r="BO36" s="563">
        <f t="shared" si="27"/>
        <v>8.1152999999999995</v>
      </c>
    </row>
    <row r="37" spans="1:67">
      <c r="A37">
        <v>2040</v>
      </c>
      <c r="B37" s="467">
        <f t="shared" si="19"/>
        <v>8.1372999999999998</v>
      </c>
      <c r="C37" s="467">
        <f t="shared" si="16"/>
        <v>3.5635816235294158</v>
      </c>
      <c r="D37" s="467">
        <f t="shared" si="12"/>
        <v>4.5448199058823491</v>
      </c>
      <c r="E37" s="467">
        <f t="shared" si="13"/>
        <v>3.5762822844874096</v>
      </c>
      <c r="F37" s="467">
        <f t="shared" si="14"/>
        <v>4.5610177155125902</v>
      </c>
      <c r="G37" s="55">
        <f t="shared" si="20"/>
        <v>567.13375636916442</v>
      </c>
      <c r="H37" s="55">
        <f t="shared" si="21"/>
        <v>69.695569337392556</v>
      </c>
      <c r="I37" s="551">
        <v>2.6</v>
      </c>
      <c r="J37" s="102">
        <v>2.7341967213114771</v>
      </c>
      <c r="K37" s="102">
        <v>124.90751111111111</v>
      </c>
      <c r="L37" s="102">
        <v>55.299999999999955</v>
      </c>
      <c r="T37">
        <v>2040</v>
      </c>
      <c r="V37" s="62"/>
      <c r="W37" s="62"/>
      <c r="X37" s="62"/>
      <c r="Y37" s="154">
        <f t="shared" si="28"/>
        <v>37862.81124155139</v>
      </c>
      <c r="Z37" s="93">
        <f t="shared" si="29"/>
        <v>10587.198724716522</v>
      </c>
      <c r="AA37" s="154">
        <f t="shared" si="30"/>
        <v>30227.085380840661</v>
      </c>
      <c r="AB37" s="93">
        <f t="shared" si="32"/>
        <v>6627.2676990564132</v>
      </c>
      <c r="AC37" s="154">
        <f t="shared" si="33"/>
        <v>154349.18462975044</v>
      </c>
      <c r="AD37" s="93">
        <f t="shared" si="17"/>
        <v>2.5509953409572232</v>
      </c>
      <c r="AF37" s="98">
        <v>71478.242604225554</v>
      </c>
      <c r="AG37" s="98">
        <v>185651.98187938135</v>
      </c>
      <c r="AH37" s="98">
        <f t="shared" si="15"/>
        <v>63687.303178575043</v>
      </c>
      <c r="AI37" s="212">
        <f t="shared" si="18"/>
        <v>141070.04235493432</v>
      </c>
      <c r="AJ37" s="1">
        <f t="shared" si="7"/>
        <v>-0.24013715917889875</v>
      </c>
      <c r="AL37" s="475">
        <f t="shared" si="8"/>
        <v>37862.81124155139</v>
      </c>
      <c r="AM37" s="113">
        <f t="shared" si="9"/>
        <v>30227.085380840661</v>
      </c>
      <c r="AN37" s="56">
        <f t="shared" si="10"/>
        <v>68089.896622392058</v>
      </c>
      <c r="AO37" s="114">
        <f t="shared" si="11"/>
        <v>141070.04235493432</v>
      </c>
      <c r="AU37">
        <v>2040</v>
      </c>
      <c r="AV37" s="552">
        <f t="shared" si="35"/>
        <v>4423643.2996794824</v>
      </c>
      <c r="AW37" s="555">
        <v>2.5000000000000001E-2</v>
      </c>
      <c r="AX37" s="557">
        <f t="shared" si="34"/>
        <v>543625.44083166192</v>
      </c>
      <c r="AY37" s="552">
        <v>8137300</v>
      </c>
      <c r="BC37" s="560">
        <f t="shared" si="22"/>
        <v>4423643299679.4824</v>
      </c>
      <c r="BD37" s="562">
        <f t="shared" si="23"/>
        <v>567133756369.16443</v>
      </c>
      <c r="BE37" s="563">
        <f t="shared" si="24"/>
        <v>567.13375636916442</v>
      </c>
      <c r="BI37" s="563">
        <f t="shared" si="25"/>
        <v>69695.569337392561</v>
      </c>
      <c r="BJ37" s="563">
        <f t="shared" si="26"/>
        <v>69.695569337392556</v>
      </c>
      <c r="BO37" s="563">
        <f t="shared" si="27"/>
        <v>8.1372999999999998</v>
      </c>
    </row>
    <row r="38" spans="1:67">
      <c r="A38">
        <v>2041</v>
      </c>
      <c r="B38" s="467">
        <f t="shared" si="19"/>
        <v>8.1548999999999996</v>
      </c>
      <c r="C38" s="467">
        <f t="shared" si="16"/>
        <v>3.5451565411764747</v>
      </c>
      <c r="D38" s="467">
        <f t="shared" si="12"/>
        <v>4.597237535294127</v>
      </c>
      <c r="E38" s="467">
        <f t="shared" si="13"/>
        <v>3.550601556019445</v>
      </c>
      <c r="F38" s="467">
        <f t="shared" si="14"/>
        <v>4.6042984439805537</v>
      </c>
      <c r="G38" s="55">
        <f t="shared" si="20"/>
        <v>581.31210027839347</v>
      </c>
      <c r="H38" s="55">
        <f t="shared" si="21"/>
        <v>71.283780338004561</v>
      </c>
      <c r="I38" s="551">
        <v>2.6</v>
      </c>
      <c r="J38" s="102">
        <v>2.7213934426229542</v>
      </c>
      <c r="K38" s="102">
        <v>125.54438333333336</v>
      </c>
      <c r="L38" s="102">
        <v>55.669999999999959</v>
      </c>
      <c r="T38">
        <v>2041</v>
      </c>
      <c r="V38" s="62"/>
      <c r="W38" s="62"/>
      <c r="X38" s="62"/>
      <c r="Y38" s="154">
        <f t="shared" si="28"/>
        <v>38090.883558601585</v>
      </c>
      <c r="Z38" s="93">
        <f t="shared" si="29"/>
        <v>10728.008467755253</v>
      </c>
      <c r="AA38" s="154">
        <f t="shared" si="30"/>
        <v>30919.753468724317</v>
      </c>
      <c r="AB38" s="93">
        <f t="shared" si="32"/>
        <v>6715.4103594538637</v>
      </c>
      <c r="AC38" s="154">
        <f t="shared" si="33"/>
        <v>156402.02878532614</v>
      </c>
      <c r="AD38" s="93">
        <f t="shared" si="17"/>
        <v>2.5509953409572232</v>
      </c>
      <c r="AF38" s="98">
        <v>71803.865208677569</v>
      </c>
      <c r="AG38" s="98">
        <v>189333.80523301405</v>
      </c>
      <c r="AH38" s="98">
        <f t="shared" si="15"/>
        <v>63687.303178575043</v>
      </c>
      <c r="AI38" s="212">
        <f t="shared" si="18"/>
        <v>142013.91063108851</v>
      </c>
      <c r="AJ38" s="1">
        <f t="shared" si="7"/>
        <v>-0.24992839785630838</v>
      </c>
      <c r="AL38" s="475">
        <f t="shared" si="8"/>
        <v>38090.883558601585</v>
      </c>
      <c r="AM38" s="113">
        <f t="shared" si="9"/>
        <v>30919.753468724317</v>
      </c>
      <c r="AN38" s="56">
        <f t="shared" si="10"/>
        <v>69010.637027325894</v>
      </c>
      <c r="AO38" s="114">
        <f t="shared" si="11"/>
        <v>142013.91063108851</v>
      </c>
      <c r="AU38">
        <v>2041</v>
      </c>
      <c r="AV38" s="552">
        <f t="shared" si="35"/>
        <v>4534234.3821714688</v>
      </c>
      <c r="AW38" s="555">
        <v>2.5000000000000001E-2</v>
      </c>
      <c r="AX38" s="557">
        <f t="shared" si="34"/>
        <v>556013.48663643561</v>
      </c>
      <c r="AY38" s="552">
        <v>8154900</v>
      </c>
      <c r="BC38" s="560">
        <f t="shared" si="22"/>
        <v>4534234382171.4688</v>
      </c>
      <c r="BD38" s="562">
        <f t="shared" si="23"/>
        <v>581312100278.39343</v>
      </c>
      <c r="BE38" s="563">
        <f t="shared" si="24"/>
        <v>581.31210027839347</v>
      </c>
      <c r="BI38" s="563">
        <f t="shared" si="25"/>
        <v>71283.780338004566</v>
      </c>
      <c r="BJ38" s="563">
        <f t="shared" si="26"/>
        <v>71.283780338004561</v>
      </c>
      <c r="BO38" s="563">
        <f t="shared" si="27"/>
        <v>8.1548999999999996</v>
      </c>
    </row>
    <row r="39" spans="1:67">
      <c r="A39">
        <v>2042</v>
      </c>
      <c r="B39" s="467">
        <f t="shared" si="19"/>
        <v>8.1685999999999996</v>
      </c>
      <c r="C39" s="467">
        <f t="shared" si="16"/>
        <v>3.5267314588235337</v>
      </c>
      <c r="D39" s="467">
        <f t="shared" si="12"/>
        <v>4.6496551647058908</v>
      </c>
      <c r="E39" s="467">
        <f t="shared" si="13"/>
        <v>3.5233728443861718</v>
      </c>
      <c r="F39" s="467">
        <f t="shared" si="14"/>
        <v>4.6452271556138278</v>
      </c>
      <c r="G39" s="55">
        <f t="shared" si="20"/>
        <v>595.84490278535316</v>
      </c>
      <c r="H39" s="55">
        <f t="shared" si="21"/>
        <v>72.943332123662955</v>
      </c>
      <c r="I39" s="551">
        <v>2.6</v>
      </c>
      <c r="J39" s="102">
        <v>2.7085901639344279</v>
      </c>
      <c r="K39" s="102">
        <v>126.18125555555547</v>
      </c>
      <c r="L39" s="102">
        <v>56.039999999999964</v>
      </c>
      <c r="T39">
        <v>2042</v>
      </c>
      <c r="V39" s="62"/>
      <c r="W39" s="62"/>
      <c r="X39" s="62"/>
      <c r="Y39" s="154">
        <f t="shared" si="28"/>
        <v>38301.497399971893</v>
      </c>
      <c r="Z39" s="93">
        <f t="shared" si="29"/>
        <v>10870.690980376399</v>
      </c>
      <c r="AA39" s="154">
        <f t="shared" si="30"/>
        <v>31609.494830111089</v>
      </c>
      <c r="AB39" s="93">
        <f t="shared" si="32"/>
        <v>6804.7253172346009</v>
      </c>
      <c r="AC39" s="154">
        <f t="shared" si="33"/>
        <v>158482.175768171</v>
      </c>
      <c r="AD39" s="93">
        <f t="shared" si="17"/>
        <v>2.5509953409572232</v>
      </c>
      <c r="AF39" s="98">
        <v>72123.452299555065</v>
      </c>
      <c r="AG39" s="98">
        <v>193103.61098388757</v>
      </c>
      <c r="AH39" s="98">
        <f t="shared" si="15"/>
        <v>63687.303178575043</v>
      </c>
      <c r="AI39" s="212">
        <f t="shared" si="18"/>
        <v>142957.7789072427</v>
      </c>
      <c r="AJ39" s="1">
        <f t="shared" si="7"/>
        <v>-0.25968355444595498</v>
      </c>
      <c r="AL39" s="475">
        <f t="shared" si="8"/>
        <v>38301.497399971893</v>
      </c>
      <c r="AM39" s="113">
        <f t="shared" si="9"/>
        <v>31609.494830111089</v>
      </c>
      <c r="AN39" s="56">
        <f t="shared" si="10"/>
        <v>69910.992230082978</v>
      </c>
      <c r="AO39" s="114">
        <f t="shared" si="11"/>
        <v>142957.7789072427</v>
      </c>
      <c r="AU39">
        <v>2042</v>
      </c>
      <c r="AV39" s="552">
        <f t="shared" si="35"/>
        <v>4647590.2417257549</v>
      </c>
      <c r="AW39" s="555">
        <v>2.5000000000000001E-2</v>
      </c>
      <c r="AX39" s="557">
        <f t="shared" si="34"/>
        <v>568957.990564571</v>
      </c>
      <c r="AY39" s="552">
        <v>8168600</v>
      </c>
      <c r="BC39" s="560">
        <f t="shared" si="22"/>
        <v>4647590241725.7549</v>
      </c>
      <c r="BD39" s="562">
        <f t="shared" si="23"/>
        <v>595844902785.35315</v>
      </c>
      <c r="BE39" s="563">
        <f t="shared" si="24"/>
        <v>595.84490278535316</v>
      </c>
      <c r="BI39" s="563">
        <f t="shared" si="25"/>
        <v>72943.332123662956</v>
      </c>
      <c r="BJ39" s="563">
        <f t="shared" si="26"/>
        <v>72.943332123662955</v>
      </c>
      <c r="BO39" s="563">
        <f t="shared" si="27"/>
        <v>8.1685999999999996</v>
      </c>
    </row>
    <row r="40" spans="1:67">
      <c r="A40">
        <v>2043</v>
      </c>
      <c r="B40" s="467">
        <f t="shared" si="19"/>
        <v>8.1795000000000009</v>
      </c>
      <c r="C40" s="467">
        <f t="shared" si="16"/>
        <v>3.5083063764705926</v>
      </c>
      <c r="D40" s="467">
        <f t="shared" si="12"/>
        <v>4.7020727941176546</v>
      </c>
      <c r="E40" s="467">
        <f t="shared" si="13"/>
        <v>3.4951116641651061</v>
      </c>
      <c r="F40" s="467">
        <f t="shared" si="14"/>
        <v>4.6843883358348943</v>
      </c>
      <c r="G40" s="55">
        <f t="shared" si="20"/>
        <v>610.74102535498696</v>
      </c>
      <c r="H40" s="55">
        <f t="shared" si="21"/>
        <v>74.667281050796134</v>
      </c>
      <c r="I40" s="551">
        <v>2.6</v>
      </c>
      <c r="J40" s="102">
        <v>2.695786885245905</v>
      </c>
      <c r="K40" s="102">
        <v>126.81812777777773</v>
      </c>
      <c r="L40" s="102">
        <v>56.409999999999968</v>
      </c>
      <c r="T40">
        <v>2043</v>
      </c>
      <c r="V40" s="62"/>
      <c r="W40" s="62"/>
      <c r="X40" s="62"/>
      <c r="Y40" s="154">
        <f t="shared" si="28"/>
        <v>38499.60275166051</v>
      </c>
      <c r="Z40" s="93">
        <f t="shared" si="29"/>
        <v>11015.271170415406</v>
      </c>
      <c r="AA40" s="154">
        <f t="shared" si="30"/>
        <v>32299.926384145536</v>
      </c>
      <c r="AB40" s="93">
        <f t="shared" si="32"/>
        <v>6895.2281639538214</v>
      </c>
      <c r="AC40" s="154">
        <f t="shared" si="33"/>
        <v>160589.98870588769</v>
      </c>
      <c r="AD40" s="93">
        <f t="shared" si="17"/>
        <v>2.5509953409572232</v>
      </c>
      <c r="AF40" s="98">
        <v>72438.352051571419</v>
      </c>
      <c r="AG40" s="98">
        <v>196961.3991320018</v>
      </c>
      <c r="AH40" s="98">
        <f t="shared" si="15"/>
        <v>63687.303178575043</v>
      </c>
      <c r="AI40" s="212">
        <f t="shared" si="18"/>
        <v>143901.64718339688</v>
      </c>
      <c r="AJ40" s="1">
        <f t="shared" si="7"/>
        <v>-0.26939162791509585</v>
      </c>
      <c r="AL40" s="475">
        <f t="shared" si="8"/>
        <v>38499.60275166051</v>
      </c>
      <c r="AM40" s="113">
        <f t="shared" si="9"/>
        <v>32299.926384145536</v>
      </c>
      <c r="AN40" s="56">
        <f t="shared" si="10"/>
        <v>70799.529135806049</v>
      </c>
      <c r="AO40" s="114">
        <f t="shared" si="11"/>
        <v>143901.64718339688</v>
      </c>
      <c r="AU40">
        <v>2043</v>
      </c>
      <c r="AV40" s="552">
        <f t="shared" si="35"/>
        <v>4763779.9977688985</v>
      </c>
      <c r="AW40" s="555">
        <v>2.5000000000000001E-2</v>
      </c>
      <c r="AX40" s="557">
        <f t="shared" si="34"/>
        <v>582404.79219620989</v>
      </c>
      <c r="AY40" s="552">
        <v>8179500</v>
      </c>
      <c r="BC40" s="560">
        <f t="shared" si="22"/>
        <v>4763779997768.8984</v>
      </c>
      <c r="BD40" s="562">
        <f t="shared" si="23"/>
        <v>610741025354.98694</v>
      </c>
      <c r="BE40" s="563">
        <f t="shared" si="24"/>
        <v>610.74102535498696</v>
      </c>
      <c r="BI40" s="563">
        <f t="shared" si="25"/>
        <v>74667.28105079614</v>
      </c>
      <c r="BJ40" s="563">
        <f t="shared" si="26"/>
        <v>74.667281050796134</v>
      </c>
      <c r="BO40" s="563">
        <f t="shared" si="27"/>
        <v>8.1795000000000009</v>
      </c>
    </row>
    <row r="41" spans="1:67">
      <c r="A41">
        <v>2044</v>
      </c>
      <c r="B41" s="467">
        <f t="shared" si="19"/>
        <v>8.1867999999999999</v>
      </c>
      <c r="C41" s="467">
        <f t="shared" si="16"/>
        <v>3.4898812941176516</v>
      </c>
      <c r="D41" s="467">
        <f t="shared" si="12"/>
        <v>4.7544904235294183</v>
      </c>
      <c r="E41" s="467">
        <f t="shared" si="13"/>
        <v>3.4655109154680979</v>
      </c>
      <c r="F41" s="467">
        <f t="shared" si="14"/>
        <v>4.7212890845319029</v>
      </c>
      <c r="G41" s="55">
        <f t="shared" si="20"/>
        <v>626.00955098886175</v>
      </c>
      <c r="H41" s="55">
        <f t="shared" si="21"/>
        <v>76.465719327314901</v>
      </c>
      <c r="I41" s="551">
        <v>2.6</v>
      </c>
      <c r="J41" s="102">
        <v>2.6829836065573787</v>
      </c>
      <c r="K41" s="102">
        <v>127.45500000000001</v>
      </c>
      <c r="L41" s="102">
        <v>56.779999999999973</v>
      </c>
      <c r="T41">
        <v>2044</v>
      </c>
      <c r="V41" s="62"/>
      <c r="W41" s="62"/>
      <c r="X41" s="62"/>
      <c r="Y41" s="154">
        <f t="shared" si="28"/>
        <v>38681.250592871926</v>
      </c>
      <c r="Z41" s="93">
        <f t="shared" si="29"/>
        <v>11161.774276981932</v>
      </c>
      <c r="AA41" s="154">
        <f t="shared" si="30"/>
        <v>32987.338526527703</v>
      </c>
      <c r="AB41" s="93">
        <f t="shared" si="32"/>
        <v>6986.9346985344082</v>
      </c>
      <c r="AC41" s="154">
        <f t="shared" si="33"/>
        <v>162725.83555567602</v>
      </c>
      <c r="AD41" s="93">
        <f t="shared" si="17"/>
        <v>2.5509953409572232</v>
      </c>
      <c r="AF41" s="98">
        <v>72747.731220703572</v>
      </c>
      <c r="AG41" s="98">
        <v>200907.16967735731</v>
      </c>
      <c r="AH41" s="98">
        <f t="shared" si="15"/>
        <v>63687.303178575043</v>
      </c>
      <c r="AI41" s="212">
        <f t="shared" si="18"/>
        <v>144845.51545955104</v>
      </c>
      <c r="AJ41" s="1">
        <f t="shared" si="7"/>
        <v>-0.27904257626961404</v>
      </c>
      <c r="AL41" s="475">
        <f t="shared" si="8"/>
        <v>38681.250592871926</v>
      </c>
      <c r="AM41" s="113">
        <f t="shared" si="9"/>
        <v>32987.338526527703</v>
      </c>
      <c r="AN41" s="56">
        <f t="shared" si="10"/>
        <v>71668.589119399636</v>
      </c>
      <c r="AO41" s="114">
        <f t="shared" si="11"/>
        <v>144845.51545955104</v>
      </c>
      <c r="AU41">
        <v>2044</v>
      </c>
      <c r="AV41" s="552">
        <f t="shared" si="35"/>
        <v>4882874.4977131207</v>
      </c>
      <c r="AW41" s="555">
        <v>2.5000000000000001E-2</v>
      </c>
      <c r="AX41" s="557">
        <f t="shared" si="34"/>
        <v>596432.61075305624</v>
      </c>
      <c r="AY41" s="552">
        <v>8186800</v>
      </c>
      <c r="BC41" s="560">
        <f t="shared" si="22"/>
        <v>4882874497713.1211</v>
      </c>
      <c r="BD41" s="562">
        <f t="shared" si="23"/>
        <v>626009550988.86169</v>
      </c>
      <c r="BE41" s="563">
        <f t="shared" si="24"/>
        <v>626.00955098886175</v>
      </c>
      <c r="BI41" s="563">
        <f t="shared" si="25"/>
        <v>76465.719327314902</v>
      </c>
      <c r="BJ41" s="563">
        <f t="shared" si="26"/>
        <v>76.465719327314901</v>
      </c>
      <c r="BO41" s="563">
        <f t="shared" si="27"/>
        <v>8.1867999999999999</v>
      </c>
    </row>
    <row r="42" spans="1:67">
      <c r="A42">
        <v>2045</v>
      </c>
      <c r="B42" s="467">
        <f t="shared" si="19"/>
        <v>8.1906999999999996</v>
      </c>
      <c r="C42" s="467">
        <f t="shared" si="16"/>
        <v>3.4714562117647105</v>
      </c>
      <c r="D42" s="467">
        <f t="shared" si="12"/>
        <v>4.8069080529411821</v>
      </c>
      <c r="E42" s="467">
        <f t="shared" si="13"/>
        <v>3.4346950055007492</v>
      </c>
      <c r="F42" s="467">
        <f t="shared" si="14"/>
        <v>4.75600499449925</v>
      </c>
      <c r="G42" s="55">
        <f t="shared" si="20"/>
        <v>641.65978976358315</v>
      </c>
      <c r="H42" s="55">
        <f t="shared" si="21"/>
        <v>78.340042946705793</v>
      </c>
      <c r="I42" s="551">
        <v>2.6</v>
      </c>
      <c r="J42" s="102">
        <v>2.6701803278688558</v>
      </c>
      <c r="K42" s="102">
        <v>127.28100000000001</v>
      </c>
      <c r="L42" s="102">
        <v>57.149999999999977</v>
      </c>
      <c r="T42">
        <v>2045</v>
      </c>
      <c r="V42" s="62"/>
      <c r="W42" s="62"/>
      <c r="X42" s="62"/>
      <c r="Y42" s="154">
        <f t="shared" si="28"/>
        <v>38847.176323486885</v>
      </c>
      <c r="Z42" s="93">
        <f t="shared" si="29"/>
        <v>11310.225874865793</v>
      </c>
      <c r="AA42" s="154">
        <f t="shared" si="30"/>
        <v>33671.853943558606</v>
      </c>
      <c r="AB42" s="93">
        <f t="shared" si="32"/>
        <v>7079.8609300249163</v>
      </c>
      <c r="AC42" s="154">
        <f t="shared" si="33"/>
        <v>164890.08916856654</v>
      </c>
      <c r="AD42" s="93">
        <f t="shared" si="17"/>
        <v>2.5509953409572232</v>
      </c>
      <c r="AF42" s="98">
        <v>73051.467462893226</v>
      </c>
      <c r="AG42" s="98">
        <v>204940.92261995294</v>
      </c>
      <c r="AH42" s="98">
        <f t="shared" si="15"/>
        <v>63687.303178575043</v>
      </c>
      <c r="AI42" s="212">
        <f t="shared" si="18"/>
        <v>145789.38373570525</v>
      </c>
      <c r="AJ42" s="1">
        <f t="shared" si="7"/>
        <v>-0.2886272694006537</v>
      </c>
      <c r="AL42" s="475">
        <f t="shared" si="8"/>
        <v>38847.176323486885</v>
      </c>
      <c r="AM42" s="113">
        <f t="shared" si="9"/>
        <v>33671.853943558606</v>
      </c>
      <c r="AN42" s="56">
        <f t="shared" si="10"/>
        <v>72519.030267045484</v>
      </c>
      <c r="AO42" s="114">
        <f t="shared" si="11"/>
        <v>145789.38373570525</v>
      </c>
      <c r="AU42">
        <v>2045</v>
      </c>
      <c r="AV42" s="552">
        <f t="shared" si="35"/>
        <v>5004946.3601559484</v>
      </c>
      <c r="AW42" s="555">
        <v>2.5000000000000001E-2</v>
      </c>
      <c r="AX42" s="557">
        <f t="shared" si="34"/>
        <v>611052.3349843052</v>
      </c>
      <c r="AY42" s="552">
        <v>8190700</v>
      </c>
      <c r="BC42" s="560">
        <f t="shared" si="22"/>
        <v>5004946360155.9482</v>
      </c>
      <c r="BD42" s="562">
        <f t="shared" si="23"/>
        <v>641659789763.58313</v>
      </c>
      <c r="BE42" s="563">
        <f t="shared" si="24"/>
        <v>641.65978976358315</v>
      </c>
      <c r="BI42" s="563">
        <f t="shared" si="25"/>
        <v>78340.042946705798</v>
      </c>
      <c r="BJ42" s="563">
        <f t="shared" si="26"/>
        <v>78.340042946705793</v>
      </c>
      <c r="BO42" s="563">
        <f t="shared" si="27"/>
        <v>8.1906999999999996</v>
      </c>
    </row>
    <row r="43" spans="1:67">
      <c r="A43">
        <v>2046</v>
      </c>
      <c r="B43" s="467">
        <f t="shared" si="19"/>
        <v>8.1904000000000003</v>
      </c>
      <c r="C43" s="467">
        <f t="shared" si="16"/>
        <v>3.4530311294117695</v>
      </c>
      <c r="D43" s="467">
        <f t="shared" si="12"/>
        <v>4.8593256823529458</v>
      </c>
      <c r="E43" s="467">
        <f t="shared" si="13"/>
        <v>3.4023691237972669</v>
      </c>
      <c r="F43" s="467">
        <f t="shared" si="14"/>
        <v>4.7880308762027335</v>
      </c>
      <c r="G43" s="55">
        <f t="shared" si="20"/>
        <v>657.70128450767265</v>
      </c>
      <c r="H43" s="55">
        <f t="shared" si="21"/>
        <v>80.301485215334139</v>
      </c>
      <c r="I43" s="551">
        <v>2.6</v>
      </c>
      <c r="J43" s="102">
        <v>2.6573770491803295</v>
      </c>
      <c r="K43" s="102">
        <v>127.10699999999994</v>
      </c>
      <c r="L43" s="102">
        <v>57.519999999999982</v>
      </c>
      <c r="T43">
        <v>2046</v>
      </c>
      <c r="V43" s="62"/>
      <c r="W43" s="62"/>
      <c r="X43" s="62"/>
      <c r="Y43" s="154">
        <f t="shared" si="28"/>
        <v>38993.368091703866</v>
      </c>
      <c r="Z43" s="93">
        <f t="shared" si="29"/>
        <v>11460.651879001509</v>
      </c>
      <c r="AA43" s="154">
        <f t="shared" si="30"/>
        <v>34349.444015518704</v>
      </c>
      <c r="AB43" s="93">
        <f t="shared" si="32"/>
        <v>7174.0230803942486</v>
      </c>
      <c r="AC43" s="154">
        <f t="shared" si="33"/>
        <v>167083.1273545085</v>
      </c>
      <c r="AD43" s="93">
        <f t="shared" si="17"/>
        <v>2.5509953409572232</v>
      </c>
      <c r="AF43" s="98">
        <v>73349.697134095099</v>
      </c>
      <c r="AG43" s="98">
        <v>209062.65795978962</v>
      </c>
      <c r="AH43" s="98">
        <f t="shared" si="15"/>
        <v>63687.303178575043</v>
      </c>
      <c r="AI43" s="212">
        <f t="shared" si="18"/>
        <v>146733.25201185944</v>
      </c>
      <c r="AJ43" s="1">
        <f t="shared" si="7"/>
        <v>-0.29813744145507992</v>
      </c>
      <c r="AL43" s="475">
        <f t="shared" si="8"/>
        <v>38993.368091703866</v>
      </c>
      <c r="AM43" s="113">
        <f t="shared" si="9"/>
        <v>34349.444015518704</v>
      </c>
      <c r="AN43" s="56">
        <f t="shared" si="10"/>
        <v>73342.812107222562</v>
      </c>
      <c r="AO43" s="114">
        <f t="shared" si="11"/>
        <v>146733.25201185944</v>
      </c>
      <c r="AU43">
        <v>2046</v>
      </c>
      <c r="AV43" s="552">
        <f t="shared" si="35"/>
        <v>5130070.0191598469</v>
      </c>
      <c r="AW43" s="555">
        <v>2.5000000000000001E-2</v>
      </c>
      <c r="AX43" s="557">
        <f t="shared" si="34"/>
        <v>626351.58467960625</v>
      </c>
      <c r="AY43" s="552">
        <v>8190400</v>
      </c>
      <c r="BC43" s="560">
        <f t="shared" si="22"/>
        <v>5130070019159.8467</v>
      </c>
      <c r="BD43" s="562">
        <f t="shared" si="23"/>
        <v>657701284507.67261</v>
      </c>
      <c r="BE43" s="563">
        <f t="shared" si="24"/>
        <v>657.70128450767265</v>
      </c>
      <c r="BI43" s="563">
        <f t="shared" si="25"/>
        <v>80301.485215334134</v>
      </c>
      <c r="BJ43" s="563">
        <f t="shared" si="26"/>
        <v>80.301485215334139</v>
      </c>
      <c r="BO43" s="563">
        <f t="shared" si="27"/>
        <v>8.1904000000000003</v>
      </c>
    </row>
    <row r="44" spans="1:67">
      <c r="A44">
        <v>2047</v>
      </c>
      <c r="B44" s="467">
        <f t="shared" si="19"/>
        <v>8.3446944615384631</v>
      </c>
      <c r="C44" s="467">
        <f t="shared" si="16"/>
        <v>3.4346060470588284</v>
      </c>
      <c r="D44" s="467">
        <f t="shared" si="12"/>
        <v>4.9117433117647096</v>
      </c>
      <c r="E44" s="467">
        <f t="shared" si="13"/>
        <v>3.4339250403122596</v>
      </c>
      <c r="F44" s="467">
        <f t="shared" si="14"/>
        <v>4.9107694212262034</v>
      </c>
      <c r="G44" s="55">
        <f t="shared" si="20"/>
        <v>674.14381662036453</v>
      </c>
      <c r="H44" s="55">
        <f t="shared" si="21"/>
        <v>80.78711805777445</v>
      </c>
      <c r="I44" s="551">
        <v>2.6</v>
      </c>
      <c r="J44" s="102">
        <v>2.6445737704918066</v>
      </c>
      <c r="K44" s="102">
        <v>126.93299999999996</v>
      </c>
      <c r="L44" s="102">
        <v>57.889999999999986</v>
      </c>
      <c r="T44">
        <v>2047</v>
      </c>
      <c r="V44" s="62"/>
      <c r="W44" s="62"/>
      <c r="X44" s="62"/>
      <c r="Y44" s="154">
        <f t="shared" si="28"/>
        <v>39878.441224497576</v>
      </c>
      <c r="Z44" s="93">
        <f t="shared" si="29"/>
        <v>11613.078548992229</v>
      </c>
      <c r="AA44" s="154">
        <f t="shared" si="30"/>
        <v>35698.531813537025</v>
      </c>
      <c r="AB44" s="93">
        <f t="shared" si="32"/>
        <v>7269.4375873634926</v>
      </c>
      <c r="AC44" s="154">
        <f t="shared" si="33"/>
        <v>169305.33294832348</v>
      </c>
      <c r="AD44" s="93">
        <f t="shared" si="17"/>
        <v>2.5509953409572232</v>
      </c>
      <c r="AF44" s="98">
        <v>73642.602442886477</v>
      </c>
      <c r="AG44" s="98">
        <v>213272.37569686712</v>
      </c>
      <c r="AH44" s="98">
        <f t="shared" si="15"/>
        <v>63687.303178575043</v>
      </c>
      <c r="AI44" s="212">
        <f t="shared" si="18"/>
        <v>147677.1202880136</v>
      </c>
      <c r="AJ44" s="1">
        <f t="shared" si="7"/>
        <v>-0.30756564320400681</v>
      </c>
      <c r="AL44" s="475">
        <f t="shared" si="8"/>
        <v>39878.441224497576</v>
      </c>
      <c r="AM44" s="113">
        <f t="shared" si="9"/>
        <v>35698.531813537025</v>
      </c>
      <c r="AN44" s="56">
        <f t="shared" si="10"/>
        <v>75576.973038034601</v>
      </c>
      <c r="AO44" s="114">
        <f t="shared" si="11"/>
        <v>147677.1202880136</v>
      </c>
      <c r="AU44">
        <v>2047</v>
      </c>
      <c r="AV44" s="552">
        <f t="shared" si="35"/>
        <v>5258321.7696388429</v>
      </c>
      <c r="AW44" s="555">
        <v>2.5000000000000001E-2</v>
      </c>
      <c r="AX44" s="557">
        <f t="shared" si="34"/>
        <v>630139.52085064072</v>
      </c>
      <c r="AY44" s="552" cm="1">
        <f t="array" ref="AY44">TREND(AY18:AY43,AU18:AU43,AU44)</f>
        <v>8344694.4615384638</v>
      </c>
      <c r="BC44" s="560">
        <f t="shared" si="22"/>
        <v>5258321769638.8428</v>
      </c>
      <c r="BD44" s="562">
        <f t="shared" si="23"/>
        <v>674143816620.3645</v>
      </c>
      <c r="BE44" s="563">
        <f t="shared" si="24"/>
        <v>674.14381662036453</v>
      </c>
      <c r="BI44" s="563">
        <f t="shared" si="25"/>
        <v>80787.118057774453</v>
      </c>
      <c r="BJ44" s="563">
        <f t="shared" si="26"/>
        <v>80.78711805777445</v>
      </c>
      <c r="BO44" s="563">
        <f t="shared" si="27"/>
        <v>8.3446944615384631</v>
      </c>
    </row>
    <row r="45" spans="1:67">
      <c r="A45">
        <v>2048</v>
      </c>
      <c r="B45" s="467">
        <f t="shared" si="19"/>
        <v>8.3792380000000009</v>
      </c>
      <c r="C45" s="467">
        <f t="shared" si="16"/>
        <v>3.4161809647058874</v>
      </c>
      <c r="D45" s="467">
        <f t="shared" si="12"/>
        <v>4.9641609411764733</v>
      </c>
      <c r="E45" s="467">
        <f t="shared" si="13"/>
        <v>3.4157309660895425</v>
      </c>
      <c r="F45" s="467">
        <f t="shared" si="14"/>
        <v>4.9635070339104583</v>
      </c>
      <c r="G45" s="55">
        <f t="shared" si="20"/>
        <v>690.99741203587348</v>
      </c>
      <c r="H45" s="55">
        <f t="shared" si="21"/>
        <v>82.465423709873562</v>
      </c>
      <c r="I45" s="551">
        <v>2.6</v>
      </c>
      <c r="J45" s="102">
        <v>2.6317704918032803</v>
      </c>
      <c r="K45" s="102">
        <v>126.75899999999999</v>
      </c>
      <c r="L45" s="102">
        <v>58.259999999999991</v>
      </c>
      <c r="T45">
        <v>2048</v>
      </c>
      <c r="V45" s="62"/>
      <c r="W45" s="62"/>
      <c r="X45" s="62"/>
      <c r="Y45" s="154">
        <f t="shared" si="28"/>
        <v>40194.725133174899</v>
      </c>
      <c r="Z45" s="93">
        <f t="shared" si="29"/>
        <v>11767.532493693827</v>
      </c>
      <c r="AA45" s="154">
        <f t="shared" si="30"/>
        <v>36561.793928597879</v>
      </c>
      <c r="AB45" s="93">
        <f t="shared" si="32"/>
        <v>7366.1211072754277</v>
      </c>
      <c r="AC45" s="154">
        <f t="shared" si="33"/>
        <v>171557.09387653621</v>
      </c>
      <c r="AD45" s="93">
        <f t="shared" si="17"/>
        <v>2.5509953409572232</v>
      </c>
      <c r="AF45" s="98">
        <v>73930.152440606384</v>
      </c>
      <c r="AG45" s="98">
        <v>217570.07583118568</v>
      </c>
      <c r="AH45" s="98">
        <f t="shared" si="15"/>
        <v>63687.303178575043</v>
      </c>
      <c r="AI45" s="212">
        <f t="shared" si="18"/>
        <v>148620.98856416781</v>
      </c>
      <c r="AJ45" s="1">
        <f t="shared" si="7"/>
        <v>-0.31690519481418022</v>
      </c>
      <c r="AL45" s="475">
        <f t="shared" si="8"/>
        <v>40194.725133174899</v>
      </c>
      <c r="AM45" s="113">
        <f t="shared" si="9"/>
        <v>36561.793928597879</v>
      </c>
      <c r="AN45" s="56">
        <f t="shared" si="10"/>
        <v>76756.519061772779</v>
      </c>
      <c r="AO45" s="114">
        <f t="shared" si="11"/>
        <v>148620.98856416781</v>
      </c>
      <c r="AU45">
        <v>2048</v>
      </c>
      <c r="AV45" s="552">
        <f t="shared" si="35"/>
        <v>5389779.8138798131</v>
      </c>
      <c r="AW45" s="555">
        <v>2.5000000000000001E-2</v>
      </c>
      <c r="AX45" s="557">
        <f t="shared" si="34"/>
        <v>643230.30493701377</v>
      </c>
      <c r="AY45" s="552">
        <v>8379238</v>
      </c>
      <c r="BC45" s="560">
        <f t="shared" si="22"/>
        <v>5389779813879.8135</v>
      </c>
      <c r="BD45" s="562">
        <f t="shared" si="23"/>
        <v>690997412035.87354</v>
      </c>
      <c r="BE45" s="563">
        <f t="shared" si="24"/>
        <v>690.99741203587348</v>
      </c>
      <c r="BI45" s="563">
        <f t="shared" si="25"/>
        <v>82465.423709873561</v>
      </c>
      <c r="BJ45" s="563">
        <f t="shared" si="26"/>
        <v>82.465423709873562</v>
      </c>
      <c r="BO45" s="563">
        <f t="shared" si="27"/>
        <v>8.3792380000000009</v>
      </c>
    </row>
    <row r="46" spans="1:67">
      <c r="A46">
        <v>2049</v>
      </c>
      <c r="B46" s="467">
        <f t="shared" si="19"/>
        <v>8.4137830000000005</v>
      </c>
      <c r="C46" s="467">
        <f t="shared" si="16"/>
        <v>3.3977558823529463</v>
      </c>
      <c r="D46" s="467">
        <f t="shared" si="12"/>
        <v>5.0165785705882371</v>
      </c>
      <c r="E46" s="467">
        <f t="shared" si="13"/>
        <v>3.397533202533737</v>
      </c>
      <c r="F46" s="467">
        <f t="shared" si="14"/>
        <v>5.016249797466263</v>
      </c>
      <c r="G46" s="55">
        <f t="shared" si="20"/>
        <v>708.27234733677039</v>
      </c>
      <c r="H46" s="55">
        <f t="shared" si="21"/>
        <v>84.180011219301761</v>
      </c>
      <c r="I46" s="551">
        <v>2.6</v>
      </c>
      <c r="J46" s="102">
        <v>2.6189672131147539</v>
      </c>
      <c r="K46" s="102">
        <v>126.58500000000001</v>
      </c>
      <c r="L46" s="102">
        <v>58.629999999999995</v>
      </c>
      <c r="T46">
        <v>2049</v>
      </c>
      <c r="V46" s="62"/>
      <c r="W46" s="62"/>
      <c r="X46" s="62"/>
      <c r="Y46" s="154">
        <f t="shared" si="28"/>
        <v>40512.324104597021</v>
      </c>
      <c r="Z46" s="93">
        <f t="shared" si="29"/>
        <v>11924.040675859957</v>
      </c>
      <c r="AA46" s="154">
        <f t="shared" si="30"/>
        <v>37441.742549198352</v>
      </c>
      <c r="AB46" s="93">
        <f t="shared" si="32"/>
        <v>7464.0905180021919</v>
      </c>
      <c r="AC46" s="154">
        <f t="shared" si="33"/>
        <v>173838.80322509416</v>
      </c>
      <c r="AD46" s="93">
        <f t="shared" si="17"/>
        <v>2.5509953409572232</v>
      </c>
      <c r="AF46" s="98">
        <v>74212.10143843267</v>
      </c>
      <c r="AG46" s="98">
        <v>221955.75836274482</v>
      </c>
      <c r="AH46" s="98">
        <f t="shared" si="15"/>
        <v>63687.303178575043</v>
      </c>
      <c r="AI46" s="212">
        <f t="shared" si="18"/>
        <v>149564.856840322</v>
      </c>
      <c r="AJ46" s="1">
        <f t="shared" si="7"/>
        <v>-0.32615013936296955</v>
      </c>
      <c r="AL46" s="475">
        <f t="shared" si="8"/>
        <v>40512.324104597021</v>
      </c>
      <c r="AM46" s="113">
        <f t="shared" si="9"/>
        <v>37441.742549198352</v>
      </c>
      <c r="AN46" s="56">
        <f t="shared" si="10"/>
        <v>77954.066653795366</v>
      </c>
      <c r="AO46" s="114">
        <f t="shared" si="11"/>
        <v>149564.856840322</v>
      </c>
      <c r="AU46">
        <v>2049</v>
      </c>
      <c r="AV46" s="552">
        <f t="shared" si="35"/>
        <v>5524524.3092268081</v>
      </c>
      <c r="AW46" s="555">
        <v>2.5000000000000001E-2</v>
      </c>
      <c r="AX46" s="557">
        <f t="shared" si="34"/>
        <v>656604.08751055365</v>
      </c>
      <c r="AY46" s="552">
        <v>8413783</v>
      </c>
      <c r="BC46" s="560">
        <f t="shared" si="22"/>
        <v>5524524309226.8086</v>
      </c>
      <c r="BD46" s="562">
        <f t="shared" si="23"/>
        <v>708272347336.77039</v>
      </c>
      <c r="BE46" s="563">
        <f t="shared" si="24"/>
        <v>708.27234733677039</v>
      </c>
      <c r="BI46" s="563">
        <f t="shared" si="25"/>
        <v>84180.011219301756</v>
      </c>
      <c r="BJ46" s="563">
        <f t="shared" si="26"/>
        <v>84.180011219301761</v>
      </c>
      <c r="BO46" s="563">
        <f t="shared" si="27"/>
        <v>8.4137830000000005</v>
      </c>
    </row>
    <row r="47" spans="1:67">
      <c r="A47">
        <v>2050</v>
      </c>
      <c r="B47" s="467">
        <f t="shared" si="19"/>
        <v>8.4483270000000008</v>
      </c>
      <c r="C47" s="467">
        <f>B47*Building!B5</f>
        <v>3.3793308000000004</v>
      </c>
      <c r="D47" s="102">
        <f>B47*Building!B6</f>
        <v>5.0689962</v>
      </c>
      <c r="E47" s="467">
        <f>$B47*C47/($C47+$D47)</f>
        <v>3.3793308000000004</v>
      </c>
      <c r="F47" s="467">
        <f t="shared" si="14"/>
        <v>5.0689962</v>
      </c>
      <c r="G47" s="55">
        <f t="shared" si="20"/>
        <v>799.05396780503156</v>
      </c>
      <c r="H47" s="55">
        <f t="shared" si="21"/>
        <v>100.67582655760204</v>
      </c>
      <c r="I47" s="551">
        <v>2.6</v>
      </c>
      <c r="J47" s="102">
        <v>2.6061639344262311</v>
      </c>
      <c r="K47" s="102">
        <v>126.41100000000003</v>
      </c>
      <c r="L47" s="102">
        <v>59</v>
      </c>
      <c r="T47">
        <v>2050</v>
      </c>
      <c r="V47" s="62"/>
      <c r="W47" s="62"/>
      <c r="X47" s="62"/>
      <c r="Y47" s="154">
        <f t="shared" si="28"/>
        <v>40831.205112674317</v>
      </c>
      <c r="Z47" s="93">
        <f t="shared" si="29"/>
        <v>12082.630416848895</v>
      </c>
      <c r="AA47" s="154">
        <f t="shared" si="30"/>
        <v>38338.657910289527</v>
      </c>
      <c r="AB47" s="93">
        <f t="shared" si="32"/>
        <v>7563.3629218916212</v>
      </c>
      <c r="AC47" s="154">
        <f t="shared" si="33"/>
        <v>176150.85930798794</v>
      </c>
      <c r="AD47" s="93">
        <f t="shared" si="17"/>
        <v>2.5509953409572232</v>
      </c>
      <c r="AF47" s="98">
        <v>74488.622941007663</v>
      </c>
      <c r="AG47" s="98">
        <v>226429.42329154455</v>
      </c>
      <c r="AH47" s="98">
        <f t="shared" si="15"/>
        <v>63687.303178575043</v>
      </c>
      <c r="AI47" s="212">
        <f t="shared" si="18"/>
        <v>150508.72511647618</v>
      </c>
      <c r="AJ47" s="1">
        <f t="shared" si="7"/>
        <v>-0.3352951973795158</v>
      </c>
      <c r="AL47" s="477">
        <f t="shared" si="8"/>
        <v>40831.205112674317</v>
      </c>
      <c r="AM47" s="115">
        <f t="shared" si="9"/>
        <v>38338.657910289527</v>
      </c>
      <c r="AN47" s="128">
        <f t="shared" si="10"/>
        <v>79169.863022963837</v>
      </c>
      <c r="AO47" s="479">
        <f t="shared" si="11"/>
        <v>150508.72511647618</v>
      </c>
      <c r="AU47">
        <v>2050</v>
      </c>
      <c r="AV47" s="552">
        <v>6232620.9488792457</v>
      </c>
      <c r="AW47" s="555">
        <v>2.5000000000000001E-2</v>
      </c>
      <c r="AX47" s="557">
        <v>785271.44714929583</v>
      </c>
      <c r="AY47" s="552">
        <v>8448327</v>
      </c>
      <c r="BC47" s="560">
        <f t="shared" si="22"/>
        <v>6232620948879.2461</v>
      </c>
      <c r="BD47" s="562">
        <f t="shared" si="23"/>
        <v>799053967805.03162</v>
      </c>
      <c r="BE47" s="563">
        <f t="shared" si="24"/>
        <v>799.05396780503156</v>
      </c>
      <c r="BI47" s="563">
        <f t="shared" si="25"/>
        <v>100675.82655760203</v>
      </c>
      <c r="BJ47" s="563">
        <f t="shared" si="26"/>
        <v>100.67582655760204</v>
      </c>
      <c r="BO47" s="563">
        <f t="shared" si="27"/>
        <v>8.4483270000000008</v>
      </c>
    </row>
    <row r="48" spans="1:67" ht="15" thickBot="1">
      <c r="I48" t="s">
        <v>871</v>
      </c>
      <c r="AU48">
        <v>2050</v>
      </c>
      <c r="AV48" s="552">
        <v>6232620.9488792457</v>
      </c>
      <c r="AW48" s="556">
        <v>2.5000000000000001E-2</v>
      </c>
      <c r="AX48" s="558">
        <v>687434</v>
      </c>
      <c r="AY48" s="559">
        <v>9066500</v>
      </c>
      <c r="BC48" s="560">
        <f t="shared" si="22"/>
        <v>6232620948879.2461</v>
      </c>
      <c r="BD48" s="562">
        <f t="shared" si="23"/>
        <v>799053967805.03162</v>
      </c>
      <c r="BE48" s="563">
        <f t="shared" si="24"/>
        <v>799.05396780503156</v>
      </c>
      <c r="BI48" s="563">
        <f t="shared" si="25"/>
        <v>88132.564102564109</v>
      </c>
      <c r="BJ48" s="563">
        <f t="shared" si="26"/>
        <v>88.132564102564103</v>
      </c>
      <c r="BO48" s="563">
        <f t="shared" si="27"/>
        <v>9.0664999999999996</v>
      </c>
    </row>
    <row r="49" spans="1:6">
      <c r="A49">
        <v>2016</v>
      </c>
      <c r="C49" s="467">
        <f>C13</f>
        <v>4.0057836000000009</v>
      </c>
      <c r="D49" s="467">
        <f>D13</f>
        <v>3.2867967999999999</v>
      </c>
      <c r="E49" s="467"/>
      <c r="F49" s="467"/>
    </row>
    <row r="50" spans="1:6">
      <c r="A50">
        <v>2050</v>
      </c>
      <c r="C50" s="467">
        <f>C47</f>
        <v>3.3793308000000004</v>
      </c>
      <c r="D50" s="467">
        <f>D47</f>
        <v>5.0689962</v>
      </c>
      <c r="E50" s="467"/>
      <c r="F50" s="467"/>
    </row>
  </sheetData>
  <mergeCells count="4">
    <mergeCell ref="AW16:AW17"/>
    <mergeCell ref="AX16:AX17"/>
    <mergeCell ref="AY16:AY17"/>
    <mergeCell ref="BO16:BO17"/>
  </mergeCells>
  <phoneticPr fontId="3" type="noConversion"/>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8"/>
  <sheetViews>
    <sheetView zoomScale="93" workbookViewId="0">
      <selection activeCell="O3" sqref="O3"/>
    </sheetView>
  </sheetViews>
  <sheetFormatPr defaultColWidth="8.81640625" defaultRowHeight="14.5"/>
  <cols>
    <col min="1" max="1" width="21.1796875" customWidth="1"/>
    <col min="14" max="14" width="10.453125" customWidth="1"/>
  </cols>
  <sheetData>
    <row r="1" spans="1:20" ht="25" customHeight="1">
      <c r="A1" s="106" t="s">
        <v>872</v>
      </c>
    </row>
    <row r="2" spans="1:20" s="159" customFormat="1" ht="16.5" customHeight="1">
      <c r="A2" s="159" t="s">
        <v>557</v>
      </c>
      <c r="B2" s="164">
        <v>2005</v>
      </c>
      <c r="C2" s="164">
        <v>2006</v>
      </c>
      <c r="D2" s="164">
        <v>2007</v>
      </c>
      <c r="E2" s="164">
        <v>2008</v>
      </c>
      <c r="F2" s="164">
        <v>2009</v>
      </c>
      <c r="G2" s="164">
        <v>2010</v>
      </c>
      <c r="H2" s="164">
        <v>2011</v>
      </c>
      <c r="I2" s="164">
        <v>2012</v>
      </c>
      <c r="J2" s="164">
        <v>2013</v>
      </c>
      <c r="K2" s="164">
        <v>2014</v>
      </c>
      <c r="L2" s="164">
        <v>2015</v>
      </c>
      <c r="M2" s="164">
        <v>2016</v>
      </c>
      <c r="N2" s="164">
        <v>2017</v>
      </c>
      <c r="O2" s="164">
        <v>2026</v>
      </c>
      <c r="P2" s="164">
        <v>2031</v>
      </c>
      <c r="Q2" s="164">
        <v>2036</v>
      </c>
      <c r="R2" s="164">
        <v>2041</v>
      </c>
      <c r="S2" s="164">
        <v>2046</v>
      </c>
      <c r="T2" s="164">
        <v>2051</v>
      </c>
    </row>
    <row r="3" spans="1:20" s="163" customFormat="1">
      <c r="A3" s="160" t="s">
        <v>873</v>
      </c>
      <c r="B3" s="161">
        <v>2.1970999999999998</v>
      </c>
      <c r="C3" s="161">
        <v>2.2208999999999999</v>
      </c>
      <c r="D3" s="161">
        <v>2.2499000000000002</v>
      </c>
      <c r="E3" s="161">
        <v>2.2791000000000001</v>
      </c>
      <c r="F3" s="161">
        <v>2.2971999999999997</v>
      </c>
      <c r="G3" s="161">
        <v>2.3250999999999999</v>
      </c>
      <c r="H3" s="161">
        <v>2.3593000000000002</v>
      </c>
      <c r="I3" s="161">
        <v>2.3861999999999997</v>
      </c>
      <c r="J3" s="161">
        <v>2.4073000000000002</v>
      </c>
      <c r="K3" s="161">
        <v>2.4323999999999999</v>
      </c>
      <c r="L3" s="161">
        <v>2.4710999999999999</v>
      </c>
      <c r="M3" s="161">
        <v>2.4988999999999999</v>
      </c>
      <c r="N3" s="161">
        <v>2.5347</v>
      </c>
      <c r="O3" s="162">
        <v>2.7688999999999999</v>
      </c>
      <c r="P3" s="162">
        <v>2.8544999999999998</v>
      </c>
      <c r="Q3" s="162">
        <v>2.9201999999999999</v>
      </c>
      <c r="R3" s="162">
        <v>2.9613999999999998</v>
      </c>
      <c r="S3" s="162">
        <v>2.9723000000000002</v>
      </c>
      <c r="T3" s="162">
        <v>2.9495</v>
      </c>
    </row>
    <row r="5" spans="1:20" ht="28" customHeight="1">
      <c r="A5" s="165" t="s">
        <v>874</v>
      </c>
      <c r="B5" t="s">
        <v>680</v>
      </c>
    </row>
    <row r="7" spans="1:20" ht="48" customHeight="1">
      <c r="A7" s="569" t="s">
        <v>875</v>
      </c>
      <c r="B7" s="569"/>
      <c r="C7" s="569"/>
      <c r="D7" s="569"/>
      <c r="E7" s="569"/>
      <c r="F7" s="569"/>
      <c r="G7" s="569"/>
      <c r="H7" s="569"/>
      <c r="I7" s="569"/>
      <c r="J7" s="569"/>
      <c r="K7" s="569"/>
      <c r="L7" s="569"/>
      <c r="M7" s="569"/>
      <c r="N7" s="569"/>
    </row>
    <row r="8" spans="1:20">
      <c r="B8" t="s">
        <v>876</v>
      </c>
      <c r="J8" t="s">
        <v>877</v>
      </c>
      <c r="R8" t="s">
        <v>878</v>
      </c>
    </row>
  </sheetData>
  <mergeCells count="1">
    <mergeCell ref="A7:N7"/>
  </mergeCells>
  <phoneticPr fontId="3"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
  <sheetViews>
    <sheetView workbookViewId="0">
      <selection activeCell="G21" sqref="G21"/>
    </sheetView>
  </sheetViews>
  <sheetFormatPr defaultColWidth="8.81640625" defaultRowHeight="14.5"/>
  <cols>
    <col min="1" max="1" width="13.7265625" customWidth="1"/>
    <col min="3" max="4" width="8.7265625"/>
    <col min="6" max="6" width="10.1796875" bestFit="1" customWidth="1"/>
  </cols>
  <sheetData>
    <row r="1" spans="1:6" ht="25.5" customHeight="1">
      <c r="A1" s="106" t="s">
        <v>879</v>
      </c>
    </row>
    <row r="2" spans="1:6">
      <c r="A2" t="s">
        <v>880</v>
      </c>
      <c r="B2" t="s">
        <v>881</v>
      </c>
    </row>
    <row r="4" spans="1:6">
      <c r="B4" t="s">
        <v>882</v>
      </c>
      <c r="C4">
        <v>947.8</v>
      </c>
      <c r="E4" t="s">
        <v>883</v>
      </c>
      <c r="F4">
        <f>C4*10^6</f>
        <v>947800000</v>
      </c>
    </row>
  </sheetData>
  <phoneticPr fontId="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79998168889431442"/>
  </sheetPr>
  <dimension ref="A1:AF56"/>
  <sheetViews>
    <sheetView topLeftCell="A14" workbookViewId="0">
      <selection activeCell="E50" sqref="E50"/>
    </sheetView>
  </sheetViews>
  <sheetFormatPr defaultColWidth="8.81640625" defaultRowHeight="14.5"/>
  <cols>
    <col min="1" max="1" width="8.1796875" customWidth="1"/>
    <col min="2" max="2" width="10.453125" customWidth="1"/>
    <col min="3" max="3" width="10.81640625" customWidth="1"/>
    <col min="4" max="4" width="8.7265625"/>
    <col min="5" max="5" width="13.453125" customWidth="1"/>
    <col min="6" max="6" width="24.7265625" customWidth="1"/>
    <col min="11" max="11" width="9.453125" bestFit="1" customWidth="1"/>
    <col min="14" max="15" width="10" customWidth="1"/>
    <col min="16" max="19" width="8.7265625"/>
    <col min="20" max="20" width="9.453125" bestFit="1" customWidth="1"/>
    <col min="21" max="22" width="8.7265625"/>
    <col min="23" max="23" width="10" customWidth="1"/>
    <col min="26" max="26" width="9.1796875" bestFit="1" customWidth="1"/>
    <col min="28" max="28" width="7.7265625" customWidth="1"/>
    <col min="29" max="29" width="8.26953125" customWidth="1"/>
    <col min="30" max="30" width="10.453125" customWidth="1"/>
    <col min="31" max="31" width="8.453125" customWidth="1"/>
    <col min="32" max="32" width="14" customWidth="1"/>
  </cols>
  <sheetData>
    <row r="1" spans="1:32" ht="21">
      <c r="A1" s="106" t="s">
        <v>884</v>
      </c>
      <c r="M1" t="s">
        <v>885</v>
      </c>
    </row>
    <row r="3" spans="1:32">
      <c r="B3" s="20" t="s">
        <v>886</v>
      </c>
      <c r="C3" s="21"/>
      <c r="D3" s="21"/>
      <c r="E3" s="22"/>
      <c r="G3" s="20" t="s">
        <v>887</v>
      </c>
      <c r="H3" s="21"/>
      <c r="I3" s="21"/>
      <c r="J3" s="21"/>
      <c r="K3" s="21" t="s">
        <v>888</v>
      </c>
      <c r="L3" s="21"/>
      <c r="M3" s="21"/>
      <c r="N3" s="22"/>
      <c r="P3" s="20" t="s">
        <v>889</v>
      </c>
      <c r="Q3" s="21"/>
      <c r="R3" s="21"/>
      <c r="S3" s="21"/>
      <c r="T3" s="21" t="s">
        <v>888</v>
      </c>
      <c r="U3" s="21"/>
      <c r="V3" s="21"/>
      <c r="W3" s="22"/>
      <c r="Y3" s="20" t="s">
        <v>889</v>
      </c>
      <c r="Z3" s="21"/>
      <c r="AA3" s="21"/>
      <c r="AB3" s="21"/>
      <c r="AC3" s="21" t="s">
        <v>890</v>
      </c>
      <c r="AD3" s="21"/>
      <c r="AE3" s="21"/>
      <c r="AF3" s="22"/>
    </row>
    <row r="4" spans="1:32" ht="12" customHeight="1">
      <c r="B4" s="107" t="s">
        <v>554</v>
      </c>
      <c r="E4" s="24"/>
      <c r="G4" s="23"/>
      <c r="L4" t="s">
        <v>891</v>
      </c>
      <c r="N4" s="24"/>
      <c r="P4" s="23"/>
      <c r="U4" t="s">
        <v>891</v>
      </c>
      <c r="W4" s="24"/>
      <c r="Y4" s="23"/>
      <c r="AF4" s="24"/>
    </row>
    <row r="5" spans="1:32">
      <c r="B5" s="107"/>
      <c r="C5" s="656" t="s">
        <v>495</v>
      </c>
      <c r="D5" s="656"/>
      <c r="E5" s="655" t="s">
        <v>503</v>
      </c>
      <c r="G5" s="107" t="s">
        <v>892</v>
      </c>
      <c r="J5" t="s">
        <v>893</v>
      </c>
      <c r="N5" s="24"/>
      <c r="P5" s="146" t="s">
        <v>894</v>
      </c>
      <c r="Q5" s="21"/>
      <c r="R5" s="21"/>
      <c r="S5" s="21" t="s">
        <v>893</v>
      </c>
      <c r="T5" s="21"/>
      <c r="U5" s="21"/>
      <c r="V5" s="21"/>
      <c r="W5" s="22"/>
      <c r="Y5" s="107" t="s">
        <v>895</v>
      </c>
      <c r="AB5" t="s">
        <v>893</v>
      </c>
      <c r="AF5" s="24"/>
    </row>
    <row r="6" spans="1:32" ht="20.149999999999999" customHeight="1">
      <c r="B6" s="107" t="s">
        <v>557</v>
      </c>
      <c r="C6" s="168" t="s">
        <v>896</v>
      </c>
      <c r="D6" s="168" t="s">
        <v>897</v>
      </c>
      <c r="E6" s="655"/>
      <c r="G6" s="483" t="s">
        <v>496</v>
      </c>
      <c r="H6" s="658" t="s">
        <v>497</v>
      </c>
      <c r="I6" s="658"/>
      <c r="J6" s="659" t="s">
        <v>498</v>
      </c>
      <c r="K6" s="659"/>
      <c r="L6" s="660" t="s">
        <v>499</v>
      </c>
      <c r="M6" s="660"/>
      <c r="N6" s="484" t="s">
        <v>500</v>
      </c>
      <c r="O6" s="481"/>
      <c r="P6" s="122" t="s">
        <v>496</v>
      </c>
      <c r="Q6" s="661" t="s">
        <v>497</v>
      </c>
      <c r="R6" s="661"/>
      <c r="S6" s="663" t="s">
        <v>498</v>
      </c>
      <c r="T6" s="663"/>
      <c r="U6" s="664" t="s">
        <v>499</v>
      </c>
      <c r="V6" s="664"/>
      <c r="W6" s="123" t="s">
        <v>500</v>
      </c>
      <c r="Y6" s="122" t="s">
        <v>496</v>
      </c>
      <c r="Z6" s="661" t="s">
        <v>497</v>
      </c>
      <c r="AA6" s="661"/>
      <c r="AB6" s="662" t="s">
        <v>898</v>
      </c>
      <c r="AC6" s="663"/>
      <c r="AD6" s="657" t="s">
        <v>499</v>
      </c>
      <c r="AE6" s="657"/>
      <c r="AF6" s="123" t="s">
        <v>500</v>
      </c>
    </row>
    <row r="7" spans="1:32">
      <c r="B7" s="23">
        <v>2006</v>
      </c>
      <c r="C7" s="113">
        <f>'Future Total Energy'!AL3</f>
        <v>26211</v>
      </c>
      <c r="D7" s="113">
        <f>'Future Total Energy'!AM3</f>
        <v>24967</v>
      </c>
      <c r="E7" s="478">
        <f>'Future Total Energy'!AO3</f>
        <v>111884</v>
      </c>
      <c r="G7" s="124">
        <v>2006</v>
      </c>
      <c r="H7" s="116">
        <f>C7*I7</f>
        <v>8911.74</v>
      </c>
      <c r="I7" s="117">
        <v>0.34</v>
      </c>
      <c r="J7" s="118">
        <f>C7*K7</f>
        <v>0</v>
      </c>
      <c r="K7" s="119">
        <v>0</v>
      </c>
      <c r="L7" s="120">
        <f>C7*M7</f>
        <v>17299.260000000002</v>
      </c>
      <c r="M7" s="121">
        <v>0.66</v>
      </c>
      <c r="N7" s="125">
        <f>'History Type Share'!H5</f>
        <v>53982</v>
      </c>
      <c r="O7" s="482"/>
      <c r="P7" s="124">
        <v>2006</v>
      </c>
      <c r="Q7" s="116">
        <f>D7*R7</f>
        <v>8488.7800000000007</v>
      </c>
      <c r="R7" s="117">
        <v>0.34</v>
      </c>
      <c r="S7" s="118">
        <f>D7*T7</f>
        <v>0</v>
      </c>
      <c r="T7" s="119">
        <v>0</v>
      </c>
      <c r="U7" s="120">
        <f>D7*V7</f>
        <v>16478.22</v>
      </c>
      <c r="V7" s="121">
        <v>0.66</v>
      </c>
      <c r="W7" s="125">
        <f>N7</f>
        <v>53982</v>
      </c>
      <c r="Y7" s="134">
        <v>2006</v>
      </c>
      <c r="Z7" s="116">
        <f>Commercial8Fuel!B5</f>
        <v>13631</v>
      </c>
      <c r="AA7" s="130">
        <f>Commercial8Fuel!C5</f>
        <v>0.12</v>
      </c>
      <c r="AB7" s="131">
        <f>Commercial8Fuel!D5</f>
        <v>4936</v>
      </c>
      <c r="AC7" s="119">
        <f>Commercial8Fuel!E5</f>
        <v>0.04</v>
      </c>
      <c r="AD7" s="132">
        <f>Commercial8Fuel!F5</f>
        <v>93317</v>
      </c>
      <c r="AE7" s="133">
        <f>Commercial8Fuel!G5</f>
        <v>0.86</v>
      </c>
      <c r="AF7" s="125">
        <f>Commercial8Fuel!H5</f>
        <v>111884</v>
      </c>
    </row>
    <row r="8" spans="1:32">
      <c r="B8" s="23">
        <v>2007</v>
      </c>
      <c r="C8" s="113">
        <f>'Future Total Energy'!AL4</f>
        <v>26733</v>
      </c>
      <c r="D8" s="113">
        <f>'Future Total Energy'!AM4</f>
        <v>25185</v>
      </c>
      <c r="E8" s="478">
        <f>'Future Total Energy'!AO4</f>
        <v>113914</v>
      </c>
      <c r="G8" s="124">
        <v>2007</v>
      </c>
      <c r="H8" s="116">
        <f t="shared" ref="H8:H17" si="0">C8*I8</f>
        <v>8821.8900000000012</v>
      </c>
      <c r="I8" s="117">
        <v>0.33</v>
      </c>
      <c r="J8" s="118">
        <f t="shared" ref="J8:J17" si="1">C8*K8</f>
        <v>0</v>
      </c>
      <c r="K8" s="119">
        <v>0</v>
      </c>
      <c r="L8" s="120">
        <f t="shared" ref="L8:L17" si="2">C8*M8</f>
        <v>17911.11</v>
      </c>
      <c r="M8" s="121">
        <v>0.67</v>
      </c>
      <c r="N8" s="125">
        <f>'History Type Share'!H6</f>
        <v>54717</v>
      </c>
      <c r="O8" s="482"/>
      <c r="P8" s="124">
        <v>2007</v>
      </c>
      <c r="Q8" s="116">
        <f t="shared" ref="Q8:Q17" si="3">D8*R8</f>
        <v>8311.0500000000011</v>
      </c>
      <c r="R8" s="117">
        <v>0.33</v>
      </c>
      <c r="S8" s="118">
        <f t="shared" ref="S8:S17" si="4">D8*T8</f>
        <v>0</v>
      </c>
      <c r="T8" s="119">
        <v>0</v>
      </c>
      <c r="U8" s="120">
        <f t="shared" ref="U8:U17" si="5">D8*V8</f>
        <v>16873.95</v>
      </c>
      <c r="V8" s="121">
        <v>0.67</v>
      </c>
      <c r="W8" s="125">
        <f t="shared" ref="W8:W17" si="6">N8</f>
        <v>54717</v>
      </c>
      <c r="Y8" s="134">
        <v>2007</v>
      </c>
      <c r="Z8" s="116">
        <f>Commercial8Fuel!B6</f>
        <v>13888</v>
      </c>
      <c r="AA8" s="130">
        <f>Commercial8Fuel!C6</f>
        <v>0.12</v>
      </c>
      <c r="AB8" s="131">
        <f>Commercial8Fuel!D6</f>
        <v>4975</v>
      </c>
      <c r="AC8" s="119">
        <f>Commercial8Fuel!E6</f>
        <v>0.04</v>
      </c>
      <c r="AD8" s="132">
        <f>Commercial8Fuel!F6</f>
        <v>95051</v>
      </c>
      <c r="AE8" s="133">
        <f>Commercial8Fuel!G6</f>
        <v>0.86</v>
      </c>
      <c r="AF8" s="125">
        <f>Commercial8Fuel!H6</f>
        <v>113914</v>
      </c>
    </row>
    <row r="9" spans="1:32">
      <c r="B9" s="23">
        <v>2008</v>
      </c>
      <c r="C9" s="113">
        <f>'Future Total Energy'!AL5</f>
        <v>27701</v>
      </c>
      <c r="D9" s="113">
        <f>'Future Total Energy'!AM5</f>
        <v>25533</v>
      </c>
      <c r="E9" s="478">
        <f>'Future Total Energy'!AO5</f>
        <v>113753</v>
      </c>
      <c r="G9" s="124">
        <v>2008</v>
      </c>
      <c r="H9" s="116">
        <f t="shared" si="0"/>
        <v>9141.33</v>
      </c>
      <c r="I9" s="117">
        <v>0.33</v>
      </c>
      <c r="J9" s="118">
        <f t="shared" si="1"/>
        <v>0</v>
      </c>
      <c r="K9" s="119">
        <v>0</v>
      </c>
      <c r="L9" s="120">
        <f t="shared" si="2"/>
        <v>18282.66</v>
      </c>
      <c r="M9" s="121">
        <v>0.66</v>
      </c>
      <c r="N9" s="125">
        <f>'History Type Share'!H7</f>
        <v>55849</v>
      </c>
      <c r="O9" s="482"/>
      <c r="P9" s="124">
        <v>2008</v>
      </c>
      <c r="Q9" s="116">
        <f t="shared" si="3"/>
        <v>8425.8900000000012</v>
      </c>
      <c r="R9" s="117">
        <v>0.33</v>
      </c>
      <c r="S9" s="118">
        <f t="shared" si="4"/>
        <v>0</v>
      </c>
      <c r="T9" s="119">
        <v>0</v>
      </c>
      <c r="U9" s="120">
        <f t="shared" si="5"/>
        <v>16851.780000000002</v>
      </c>
      <c r="V9" s="121">
        <v>0.66</v>
      </c>
      <c r="W9" s="125">
        <f t="shared" si="6"/>
        <v>55849</v>
      </c>
      <c r="Y9" s="134">
        <v>2008</v>
      </c>
      <c r="Z9" s="116">
        <f>Commercial8Fuel!B7</f>
        <v>13471</v>
      </c>
      <c r="AA9" s="130">
        <f>Commercial8Fuel!C7</f>
        <v>0.12</v>
      </c>
      <c r="AB9" s="131">
        <f>Commercial8Fuel!D7</f>
        <v>4739</v>
      </c>
      <c r="AC9" s="119">
        <f>Commercial8Fuel!E7</f>
        <v>0.04</v>
      </c>
      <c r="AD9" s="132">
        <f>Commercial8Fuel!F7</f>
        <v>95543</v>
      </c>
      <c r="AE9" s="133">
        <f>Commercial8Fuel!G7</f>
        <v>0.86</v>
      </c>
      <c r="AF9" s="125">
        <f>Commercial8Fuel!H7</f>
        <v>113753</v>
      </c>
    </row>
    <row r="10" spans="1:32">
      <c r="B10" s="23">
        <v>2009</v>
      </c>
      <c r="C10" s="113">
        <f>'Future Total Energy'!AL6</f>
        <v>28544</v>
      </c>
      <c r="D10" s="113">
        <f>'Future Total Energy'!AM6</f>
        <v>26068</v>
      </c>
      <c r="E10" s="478">
        <f>'Future Total Energy'!AO6</f>
        <v>114297</v>
      </c>
      <c r="G10" s="124">
        <v>2009</v>
      </c>
      <c r="H10" s="116">
        <f t="shared" si="0"/>
        <v>9134.08</v>
      </c>
      <c r="I10" s="117">
        <v>0.32</v>
      </c>
      <c r="J10" s="118">
        <f t="shared" si="1"/>
        <v>0</v>
      </c>
      <c r="K10" s="119">
        <v>0</v>
      </c>
      <c r="L10" s="120">
        <f t="shared" si="2"/>
        <v>19409.920000000002</v>
      </c>
      <c r="M10" s="121">
        <v>0.68</v>
      </c>
      <c r="N10" s="125">
        <f>'History Type Share'!H8</f>
        <v>57731</v>
      </c>
      <c r="O10" s="482"/>
      <c r="P10" s="124">
        <v>2009</v>
      </c>
      <c r="Q10" s="116">
        <f t="shared" si="3"/>
        <v>8341.76</v>
      </c>
      <c r="R10" s="117">
        <v>0.32</v>
      </c>
      <c r="S10" s="118">
        <f t="shared" si="4"/>
        <v>0</v>
      </c>
      <c r="T10" s="119">
        <v>0</v>
      </c>
      <c r="U10" s="120">
        <f t="shared" si="5"/>
        <v>17726.240000000002</v>
      </c>
      <c r="V10" s="121">
        <v>0.68</v>
      </c>
      <c r="W10" s="125">
        <f t="shared" si="6"/>
        <v>57731</v>
      </c>
      <c r="Y10" s="134">
        <v>2009</v>
      </c>
      <c r="Z10" s="116">
        <f>Commercial8Fuel!B8</f>
        <v>12815</v>
      </c>
      <c r="AA10" s="130">
        <f>Commercial8Fuel!C8</f>
        <v>0.11</v>
      </c>
      <c r="AB10" s="131">
        <f>Commercial8Fuel!D8</f>
        <v>4753</v>
      </c>
      <c r="AC10" s="119">
        <f>Commercial8Fuel!E8</f>
        <v>0.04</v>
      </c>
      <c r="AD10" s="132">
        <f>Commercial8Fuel!F8</f>
        <v>96728</v>
      </c>
      <c r="AE10" s="133">
        <f>Commercial8Fuel!G8</f>
        <v>0.87</v>
      </c>
      <c r="AF10" s="125">
        <f>Commercial8Fuel!H8</f>
        <v>114297</v>
      </c>
    </row>
    <row r="11" spans="1:32">
      <c r="B11" s="23">
        <v>2010</v>
      </c>
      <c r="C11" s="113">
        <f>'Future Total Energy'!AL7</f>
        <v>28730</v>
      </c>
      <c r="D11" s="113">
        <f>'Future Total Energy'!AM7</f>
        <v>16152</v>
      </c>
      <c r="E11" s="478">
        <f>'Future Total Energy'!AO7</f>
        <v>116391</v>
      </c>
      <c r="G11" s="124">
        <v>2010</v>
      </c>
      <c r="H11" s="116">
        <f t="shared" si="0"/>
        <v>9480.9</v>
      </c>
      <c r="I11" s="117">
        <v>0.33</v>
      </c>
      <c r="J11" s="118">
        <f t="shared" si="1"/>
        <v>0</v>
      </c>
      <c r="K11" s="119">
        <v>0</v>
      </c>
      <c r="L11" s="120">
        <f t="shared" si="2"/>
        <v>19249.100000000002</v>
      </c>
      <c r="M11" s="121">
        <v>0.67</v>
      </c>
      <c r="N11" s="125">
        <f>'History Type Share'!H9</f>
        <v>58396</v>
      </c>
      <c r="O11" s="482"/>
      <c r="P11" s="124">
        <v>2010</v>
      </c>
      <c r="Q11" s="116">
        <f t="shared" si="3"/>
        <v>5330.16</v>
      </c>
      <c r="R11" s="117">
        <v>0.33</v>
      </c>
      <c r="S11" s="118">
        <f t="shared" si="4"/>
        <v>0</v>
      </c>
      <c r="T11" s="119">
        <v>0</v>
      </c>
      <c r="U11" s="120">
        <f t="shared" si="5"/>
        <v>10821.84</v>
      </c>
      <c r="V11" s="121">
        <v>0.67</v>
      </c>
      <c r="W11" s="125">
        <f t="shared" si="6"/>
        <v>58396</v>
      </c>
      <c r="Y11" s="134">
        <v>2010</v>
      </c>
      <c r="Z11" s="116">
        <f>Commercial8Fuel!B9</f>
        <v>13971</v>
      </c>
      <c r="AA11" s="130">
        <f>Commercial8Fuel!C9</f>
        <v>0.12</v>
      </c>
      <c r="AB11" s="131">
        <f>Commercial8Fuel!D9</f>
        <v>4526</v>
      </c>
      <c r="AC11" s="119">
        <f>Commercial8Fuel!E9</f>
        <v>0.04</v>
      </c>
      <c r="AD11" s="132">
        <f>Commercial8Fuel!F9</f>
        <v>97894</v>
      </c>
      <c r="AE11" s="133">
        <f>Commercial8Fuel!G9</f>
        <v>0.87</v>
      </c>
      <c r="AF11" s="125">
        <f>Commercial8Fuel!H9</f>
        <v>116391</v>
      </c>
    </row>
    <row r="12" spans="1:32">
      <c r="B12" s="23">
        <v>2011</v>
      </c>
      <c r="C12" s="113">
        <f>'Future Total Energy'!AL8</f>
        <v>29134</v>
      </c>
      <c r="D12" s="113">
        <f>'Future Total Energy'!AM8</f>
        <v>16425</v>
      </c>
      <c r="E12" s="478">
        <f>'Future Total Energy'!AO8</f>
        <v>118558</v>
      </c>
      <c r="G12" s="124">
        <v>2011</v>
      </c>
      <c r="H12" s="116">
        <f t="shared" si="0"/>
        <v>9322.880000000001</v>
      </c>
      <c r="I12" s="117">
        <v>0.32</v>
      </c>
      <c r="J12" s="118">
        <f t="shared" si="1"/>
        <v>0</v>
      </c>
      <c r="K12" s="119">
        <v>0</v>
      </c>
      <c r="L12" s="120">
        <f t="shared" si="2"/>
        <v>19811.120000000003</v>
      </c>
      <c r="M12" s="121">
        <v>0.68</v>
      </c>
      <c r="N12" s="125">
        <f>'History Type Share'!H10</f>
        <v>58857</v>
      </c>
      <c r="O12" s="482"/>
      <c r="P12" s="124">
        <v>2011</v>
      </c>
      <c r="Q12" s="116">
        <f t="shared" si="3"/>
        <v>5256</v>
      </c>
      <c r="R12" s="117">
        <v>0.32</v>
      </c>
      <c r="S12" s="118">
        <f t="shared" si="4"/>
        <v>0</v>
      </c>
      <c r="T12" s="119">
        <v>0</v>
      </c>
      <c r="U12" s="120">
        <f t="shared" si="5"/>
        <v>11169</v>
      </c>
      <c r="V12" s="121">
        <v>0.68</v>
      </c>
      <c r="W12" s="125">
        <f t="shared" si="6"/>
        <v>58857</v>
      </c>
      <c r="Y12" s="134">
        <v>2011</v>
      </c>
      <c r="Z12" s="116">
        <f>Commercial8Fuel!B10</f>
        <v>14129</v>
      </c>
      <c r="AA12" s="130">
        <f>Commercial8Fuel!C10</f>
        <v>0.12</v>
      </c>
      <c r="AB12" s="131">
        <f>Commercial8Fuel!D10</f>
        <v>1979</v>
      </c>
      <c r="AC12" s="119">
        <f>Commercial8Fuel!E10</f>
        <v>0.02</v>
      </c>
      <c r="AD12" s="132">
        <f>Commercial8Fuel!F10</f>
        <v>99905</v>
      </c>
      <c r="AE12" s="133">
        <f>Commercial8Fuel!G10</f>
        <v>0.87</v>
      </c>
      <c r="AF12" s="125">
        <f>Commercial8Fuel!H10</f>
        <v>116013</v>
      </c>
    </row>
    <row r="13" spans="1:32">
      <c r="B13" s="23">
        <v>2012</v>
      </c>
      <c r="C13" s="113">
        <f>'Future Total Energy'!AL9</f>
        <v>29324</v>
      </c>
      <c r="D13" s="113">
        <f>'Future Total Energy'!AM9</f>
        <v>16866</v>
      </c>
      <c r="E13" s="478">
        <f>'Future Total Energy'!AO9</f>
        <v>120970</v>
      </c>
      <c r="G13" s="124">
        <v>2012</v>
      </c>
      <c r="H13" s="116">
        <f t="shared" si="0"/>
        <v>9090.44</v>
      </c>
      <c r="I13" s="117">
        <v>0.31</v>
      </c>
      <c r="J13" s="118">
        <f t="shared" si="1"/>
        <v>0</v>
      </c>
      <c r="K13" s="119">
        <v>0</v>
      </c>
      <c r="L13" s="120">
        <f t="shared" si="2"/>
        <v>20233.559999999998</v>
      </c>
      <c r="M13" s="121">
        <v>0.69</v>
      </c>
      <c r="N13" s="125">
        <f>'History Type Share'!H11</f>
        <v>60037</v>
      </c>
      <c r="O13" s="482"/>
      <c r="P13" s="124">
        <v>2012</v>
      </c>
      <c r="Q13" s="116">
        <f t="shared" si="3"/>
        <v>5228.46</v>
      </c>
      <c r="R13" s="117">
        <v>0.31</v>
      </c>
      <c r="S13" s="118">
        <f t="shared" si="4"/>
        <v>0</v>
      </c>
      <c r="T13" s="119">
        <v>0</v>
      </c>
      <c r="U13" s="120">
        <f t="shared" si="5"/>
        <v>11637.539999999999</v>
      </c>
      <c r="V13" s="121">
        <v>0.69</v>
      </c>
      <c r="W13" s="125">
        <f t="shared" si="6"/>
        <v>60037</v>
      </c>
      <c r="Y13" s="134">
        <v>2012</v>
      </c>
      <c r="Z13" s="116">
        <f>Commercial8Fuel!B11</f>
        <v>14280</v>
      </c>
      <c r="AA13" s="130">
        <f>Commercial8Fuel!C11</f>
        <v>0.12</v>
      </c>
      <c r="AB13" s="131">
        <f>Commercial8Fuel!D11</f>
        <v>1696</v>
      </c>
      <c r="AC13" s="119">
        <f>Commercial8Fuel!E11</f>
        <v>0.01</v>
      </c>
      <c r="AD13" s="132">
        <f>Commercial8Fuel!F11</f>
        <v>102353</v>
      </c>
      <c r="AE13" s="133">
        <f>Commercial8Fuel!G11</f>
        <v>0.87</v>
      </c>
      <c r="AF13" s="125">
        <f>Commercial8Fuel!H11</f>
        <v>118330</v>
      </c>
    </row>
    <row r="14" spans="1:32">
      <c r="B14" s="23">
        <v>2013</v>
      </c>
      <c r="C14" s="113">
        <f>'Future Total Energy'!AL10</f>
        <v>28489</v>
      </c>
      <c r="D14" s="113">
        <f>'Future Total Energy'!AM10</f>
        <v>16604</v>
      </c>
      <c r="E14" s="478">
        <f>'Future Total Energy'!AO10</f>
        <v>121215</v>
      </c>
      <c r="G14" s="124">
        <v>2013</v>
      </c>
      <c r="H14" s="116">
        <f t="shared" si="0"/>
        <v>9116.48</v>
      </c>
      <c r="I14" s="117">
        <v>0.32</v>
      </c>
      <c r="J14" s="118">
        <f t="shared" si="1"/>
        <v>0</v>
      </c>
      <c r="K14" s="119">
        <v>0</v>
      </c>
      <c r="L14" s="120">
        <f t="shared" si="2"/>
        <v>19372.52</v>
      </c>
      <c r="M14" s="121">
        <v>0.68</v>
      </c>
      <c r="N14" s="125">
        <f>'History Type Share'!H12</f>
        <v>58582</v>
      </c>
      <c r="O14" s="482"/>
      <c r="P14" s="124">
        <v>2013</v>
      </c>
      <c r="Q14" s="116">
        <f t="shared" si="3"/>
        <v>5313.28</v>
      </c>
      <c r="R14" s="117">
        <v>0.32</v>
      </c>
      <c r="S14" s="118">
        <f t="shared" si="4"/>
        <v>0</v>
      </c>
      <c r="T14" s="119">
        <v>0</v>
      </c>
      <c r="U14" s="120">
        <f t="shared" si="5"/>
        <v>11290.720000000001</v>
      </c>
      <c r="V14" s="121">
        <v>0.68</v>
      </c>
      <c r="W14" s="125">
        <f t="shared" si="6"/>
        <v>58582</v>
      </c>
      <c r="Y14" s="134">
        <v>2013</v>
      </c>
      <c r="Z14" s="116">
        <f>Commercial8Fuel!B12</f>
        <v>14512</v>
      </c>
      <c r="AA14" s="130">
        <f>Commercial8Fuel!C12</f>
        <v>0.12</v>
      </c>
      <c r="AB14" s="131">
        <f>Commercial8Fuel!D12</f>
        <v>1477</v>
      </c>
      <c r="AC14" s="119">
        <f>Commercial8Fuel!E12</f>
        <v>0.01</v>
      </c>
      <c r="AD14" s="132">
        <f>Commercial8Fuel!F12</f>
        <v>102221</v>
      </c>
      <c r="AE14" s="133">
        <f>Commercial8Fuel!G12</f>
        <v>0.87</v>
      </c>
      <c r="AF14" s="125">
        <f>Commercial8Fuel!H12</f>
        <v>118209</v>
      </c>
    </row>
    <row r="15" spans="1:32">
      <c r="B15" s="23">
        <v>2014</v>
      </c>
      <c r="C15" s="113">
        <f>'Future Total Energy'!AL11</f>
        <v>30548</v>
      </c>
      <c r="D15" s="113">
        <f>'Future Total Energy'!AM11</f>
        <v>17371</v>
      </c>
      <c r="E15" s="478">
        <f>'Future Total Energy'!AO11</f>
        <v>122711</v>
      </c>
      <c r="G15" s="124">
        <v>2014</v>
      </c>
      <c r="H15" s="116">
        <f t="shared" si="0"/>
        <v>9164.4</v>
      </c>
      <c r="I15" s="117">
        <v>0.3</v>
      </c>
      <c r="J15" s="118">
        <f t="shared" si="1"/>
        <v>0</v>
      </c>
      <c r="K15" s="119">
        <v>0</v>
      </c>
      <c r="L15" s="120">
        <f t="shared" si="2"/>
        <v>21383.599999999999</v>
      </c>
      <c r="M15" s="121">
        <v>0.7</v>
      </c>
      <c r="N15" s="125">
        <f>'History Type Share'!H13</f>
        <v>62103</v>
      </c>
      <c r="O15" s="482"/>
      <c r="P15" s="124">
        <v>2014</v>
      </c>
      <c r="Q15" s="116">
        <f t="shared" si="3"/>
        <v>5211.3</v>
      </c>
      <c r="R15" s="117">
        <v>0.3</v>
      </c>
      <c r="S15" s="118">
        <f t="shared" si="4"/>
        <v>0</v>
      </c>
      <c r="T15" s="119">
        <v>0</v>
      </c>
      <c r="U15" s="120">
        <f t="shared" si="5"/>
        <v>12159.699999999999</v>
      </c>
      <c r="V15" s="121">
        <v>0.7</v>
      </c>
      <c r="W15" s="125">
        <f t="shared" si="6"/>
        <v>62103</v>
      </c>
      <c r="Y15" s="134">
        <v>2014</v>
      </c>
      <c r="Z15" s="116">
        <f>Commercial8Fuel!B13</f>
        <v>14713</v>
      </c>
      <c r="AA15" s="130">
        <f>Commercial8Fuel!C13</f>
        <v>0.12</v>
      </c>
      <c r="AB15" s="131">
        <f>Commercial8Fuel!D13</f>
        <v>1431</v>
      </c>
      <c r="AC15" s="119">
        <f>Commercial8Fuel!E13</f>
        <v>0.01</v>
      </c>
      <c r="AD15" s="132">
        <f>Commercial8Fuel!F13</f>
        <v>103471</v>
      </c>
      <c r="AE15" s="133">
        <f>Commercial8Fuel!G13</f>
        <v>0.87</v>
      </c>
      <c r="AF15" s="125">
        <f>Commercial8Fuel!H13</f>
        <v>119615</v>
      </c>
    </row>
    <row r="16" spans="1:32">
      <c r="B16" s="23">
        <v>2015</v>
      </c>
      <c r="C16" s="113">
        <f>'Future Total Energy'!AL12</f>
        <v>29241</v>
      </c>
      <c r="D16" s="113">
        <f>'Future Total Energy'!AM12</f>
        <v>16970</v>
      </c>
      <c r="E16" s="478">
        <f>'Future Total Energy'!AO12</f>
        <v>123674</v>
      </c>
      <c r="G16" s="124">
        <v>2015</v>
      </c>
      <c r="H16" s="116">
        <f t="shared" si="0"/>
        <v>8772.2999999999993</v>
      </c>
      <c r="I16" s="117">
        <v>0.3</v>
      </c>
      <c r="J16" s="118">
        <f t="shared" si="1"/>
        <v>0</v>
      </c>
      <c r="K16" s="119">
        <v>0</v>
      </c>
      <c r="L16" s="120">
        <f t="shared" si="2"/>
        <v>20468.699999999997</v>
      </c>
      <c r="M16" s="121">
        <v>0.7</v>
      </c>
      <c r="N16" s="125">
        <f>'History Type Share'!H14</f>
        <v>60439</v>
      </c>
      <c r="O16" s="482"/>
      <c r="P16" s="124">
        <v>2015</v>
      </c>
      <c r="Q16" s="116">
        <f t="shared" si="3"/>
        <v>5091</v>
      </c>
      <c r="R16" s="117">
        <v>0.3</v>
      </c>
      <c r="S16" s="118">
        <f t="shared" si="4"/>
        <v>0</v>
      </c>
      <c r="T16" s="119">
        <v>0</v>
      </c>
      <c r="U16" s="120">
        <f t="shared" si="5"/>
        <v>11879</v>
      </c>
      <c r="V16" s="121">
        <v>0.7</v>
      </c>
      <c r="W16" s="125">
        <f t="shared" si="6"/>
        <v>60439</v>
      </c>
      <c r="Y16" s="134">
        <v>2015</v>
      </c>
      <c r="Z16" s="116">
        <f>Commercial8Fuel!B14</f>
        <v>14535</v>
      </c>
      <c r="AA16" s="130">
        <f>Commercial8Fuel!C14</f>
        <v>0.12</v>
      </c>
      <c r="AB16" s="131">
        <f>Commercial8Fuel!D14</f>
        <v>1235</v>
      </c>
      <c r="AC16" s="119">
        <f>Commercial8Fuel!E14</f>
        <v>0.01</v>
      </c>
      <c r="AD16" s="132">
        <f>Commercial8Fuel!F14</f>
        <v>104647</v>
      </c>
      <c r="AE16" s="133">
        <f>Commercial8Fuel!G14</f>
        <v>0.87</v>
      </c>
      <c r="AF16" s="125">
        <f>Commercial8Fuel!H14</f>
        <v>120417</v>
      </c>
    </row>
    <row r="17" spans="2:32">
      <c r="B17" s="23">
        <v>2016</v>
      </c>
      <c r="C17" s="113">
        <f>'Future Total Energy'!AL13</f>
        <v>30489</v>
      </c>
      <c r="D17" s="113">
        <f>'Future Total Energy'!AM13</f>
        <v>17190</v>
      </c>
      <c r="E17" s="478">
        <f>'Future Total Energy'!AO13</f>
        <v>123969</v>
      </c>
      <c r="G17" s="127">
        <v>2016</v>
      </c>
      <c r="H17" s="485">
        <f t="shared" si="0"/>
        <v>9146.6999999999989</v>
      </c>
      <c r="I17" s="486">
        <v>0.3</v>
      </c>
      <c r="J17" s="487">
        <f t="shared" si="1"/>
        <v>0</v>
      </c>
      <c r="K17" s="488">
        <v>0</v>
      </c>
      <c r="L17" s="489">
        <f t="shared" si="2"/>
        <v>21342.3</v>
      </c>
      <c r="M17" s="490">
        <v>0.7</v>
      </c>
      <c r="N17" s="491">
        <f>'History Type Share'!H15</f>
        <v>61704</v>
      </c>
      <c r="O17" s="482"/>
      <c r="P17" s="127">
        <v>2016</v>
      </c>
      <c r="Q17" s="485">
        <f t="shared" si="3"/>
        <v>5157</v>
      </c>
      <c r="R17" s="486">
        <v>0.3</v>
      </c>
      <c r="S17" s="487">
        <f t="shared" si="4"/>
        <v>0</v>
      </c>
      <c r="T17" s="488">
        <v>0</v>
      </c>
      <c r="U17" s="489">
        <f t="shared" si="5"/>
        <v>12033</v>
      </c>
      <c r="V17" s="490">
        <v>0.7</v>
      </c>
      <c r="W17" s="491">
        <f t="shared" si="6"/>
        <v>61704</v>
      </c>
      <c r="Y17" s="135">
        <v>2016</v>
      </c>
      <c r="Z17" s="116">
        <f>Commercial8Fuel!B15</f>
        <v>14601</v>
      </c>
      <c r="AA17" s="130">
        <f>Commercial8Fuel!C15</f>
        <v>0.12</v>
      </c>
      <c r="AB17" s="131">
        <f>Commercial8Fuel!D15</f>
        <v>1019</v>
      </c>
      <c r="AC17" s="119">
        <f>Commercial8Fuel!E15</f>
        <v>0.01</v>
      </c>
      <c r="AD17" s="132">
        <f>Commercial8Fuel!F15</f>
        <v>104839</v>
      </c>
      <c r="AE17" s="133">
        <f>Commercial8Fuel!G15</f>
        <v>0.87</v>
      </c>
      <c r="AF17" s="125">
        <f>Commercial8Fuel!H15</f>
        <v>120458</v>
      </c>
    </row>
    <row r="18" spans="2:32">
      <c r="B18" s="23">
        <v>2017</v>
      </c>
      <c r="C18" s="113">
        <f>'Future Total Energy'!AL14</f>
        <v>30231</v>
      </c>
      <c r="D18" s="113">
        <f>'Future Total Energy'!AM14</f>
        <v>16713</v>
      </c>
      <c r="E18" s="492">
        <f>'Future Total Energy'!AO14</f>
        <v>120891.66920796278</v>
      </c>
      <c r="G18" s="124">
        <v>2017</v>
      </c>
      <c r="H18" s="56">
        <f>$C18*I18</f>
        <v>8887.9139999999879</v>
      </c>
      <c r="I18" s="111">
        <f>1-M18-K18</f>
        <v>0.29399999999999959</v>
      </c>
      <c r="J18" s="56">
        <f>J17</f>
        <v>0</v>
      </c>
      <c r="K18" s="111">
        <f t="shared" ref="K18:K51" si="7">J18/C18</f>
        <v>0</v>
      </c>
      <c r="L18" s="56">
        <f>$C18*M18</f>
        <v>21343.086000000014</v>
      </c>
      <c r="M18" s="111">
        <f>TREND(M$7:M$17,$G$7:$G$17,$G18)</f>
        <v>0.70600000000000041</v>
      </c>
      <c r="N18" s="125">
        <f t="shared" ref="N18:N51" si="8">C18</f>
        <v>30231</v>
      </c>
      <c r="O18" s="482"/>
      <c r="P18" s="124">
        <v>2017</v>
      </c>
      <c r="Q18" s="56">
        <f>$W18*R18</f>
        <v>4913.621999999993</v>
      </c>
      <c r="R18" s="111">
        <f>1-V18-T18</f>
        <v>0.29399999999999959</v>
      </c>
      <c r="S18" s="56">
        <f>S17</f>
        <v>0</v>
      </c>
      <c r="T18" s="111">
        <f t="shared" ref="T18:T51" si="9">S18/L18</f>
        <v>0</v>
      </c>
      <c r="U18" s="56">
        <f>$W18*V18</f>
        <v>11799.378000000006</v>
      </c>
      <c r="V18" s="111">
        <f>TREND(V$7:V$17,$G$7:$G$17,$G18)</f>
        <v>0.70600000000000041</v>
      </c>
      <c r="W18" s="125">
        <f>D18</f>
        <v>16713</v>
      </c>
      <c r="Y18" s="134">
        <v>2017</v>
      </c>
      <c r="Z18" s="116">
        <f>Commercial8Fuel!B16</f>
        <v>14908</v>
      </c>
      <c r="AA18" s="130">
        <f>Commercial8Fuel!C16</f>
        <v>0.12</v>
      </c>
      <c r="AB18" s="131">
        <f>Commercial8Fuel!D16</f>
        <v>830</v>
      </c>
      <c r="AC18" s="119">
        <f>Commercial8Fuel!E16</f>
        <v>0.01</v>
      </c>
      <c r="AD18" s="132">
        <f>Commercial8Fuel!F16</f>
        <v>104669</v>
      </c>
      <c r="AE18" s="133">
        <f>Commercial8Fuel!G16</f>
        <v>0.87</v>
      </c>
      <c r="AF18" s="125">
        <f>Commercial8Fuel!H16</f>
        <v>120408</v>
      </c>
    </row>
    <row r="19" spans="2:32">
      <c r="B19" s="23">
        <v>2018</v>
      </c>
      <c r="C19" s="113">
        <f>'Future Total Energy'!AL15</f>
        <v>30241</v>
      </c>
      <c r="D19" s="113">
        <f>'Future Total Energy'!AM15</f>
        <v>16925</v>
      </c>
      <c r="E19" s="492">
        <f>'Future Total Energy'!AO15</f>
        <v>121325.33841592554</v>
      </c>
      <c r="G19" s="124">
        <v>2018</v>
      </c>
      <c r="H19" s="56">
        <f>$C19*I19</f>
        <v>8764.3916363636217</v>
      </c>
      <c r="I19" s="111">
        <f t="shared" ref="I19:I51" si="10">1-M19-K19</f>
        <v>0.28981818181818131</v>
      </c>
      <c r="J19" s="56">
        <f t="shared" ref="J19:J51" si="11">J18</f>
        <v>0</v>
      </c>
      <c r="K19" s="111">
        <f t="shared" si="7"/>
        <v>0</v>
      </c>
      <c r="L19" s="56">
        <f t="shared" ref="L19:L51" si="12">$C19*M19</f>
        <v>21476.60836363638</v>
      </c>
      <c r="M19" s="111">
        <f t="shared" ref="M19:M51" si="13">TREND(M$7:M$17,$G$7:$G$17,$G19)</f>
        <v>0.71018181818181869</v>
      </c>
      <c r="N19" s="125">
        <f t="shared" si="8"/>
        <v>30241</v>
      </c>
      <c r="O19" s="482"/>
      <c r="P19" s="124">
        <v>2018</v>
      </c>
      <c r="Q19" s="56">
        <f t="shared" ref="Q19:Q51" si="14">$W19*R19</f>
        <v>4905.1727272727185</v>
      </c>
      <c r="R19" s="111">
        <f t="shared" ref="R19:R51" si="15">1-V19-T19</f>
        <v>0.28981818181818131</v>
      </c>
      <c r="S19" s="56">
        <f t="shared" ref="S19:S51" si="16">S18</f>
        <v>0</v>
      </c>
      <c r="T19" s="111">
        <f t="shared" si="9"/>
        <v>0</v>
      </c>
      <c r="U19" s="56">
        <f t="shared" ref="U19:U51" si="17">$W19*V19</f>
        <v>12019.827272727282</v>
      </c>
      <c r="V19" s="111">
        <f t="shared" ref="V19:V51" si="18">TREND(V$7:V$17,$G$7:$G$17,$G19)</f>
        <v>0.71018181818181869</v>
      </c>
      <c r="W19" s="125">
        <f t="shared" ref="W19:W51" si="19">D19</f>
        <v>16925</v>
      </c>
      <c r="Y19" s="134">
        <v>2018</v>
      </c>
      <c r="Z19" s="116">
        <f>Commercial8Fuel!B17</f>
        <v>15254</v>
      </c>
      <c r="AA19" s="130">
        <f>Commercial8Fuel!C17</f>
        <v>0.12</v>
      </c>
      <c r="AB19" s="131">
        <f>Commercial8Fuel!D17</f>
        <v>675</v>
      </c>
      <c r="AC19" s="119">
        <f>Commercial8Fuel!E17</f>
        <v>0.01</v>
      </c>
      <c r="AD19" s="132">
        <f>Commercial8Fuel!F17</f>
        <v>106291</v>
      </c>
      <c r="AE19" s="133">
        <f>Commercial8Fuel!G17</f>
        <v>0.87</v>
      </c>
      <c r="AF19" s="125">
        <f>Commercial8Fuel!H17</f>
        <v>122220</v>
      </c>
    </row>
    <row r="20" spans="2:32">
      <c r="B20" s="23">
        <v>2019</v>
      </c>
      <c r="C20" s="113">
        <f>'Future Total Energy'!AL16</f>
        <v>30115</v>
      </c>
      <c r="D20" s="113">
        <f>'Future Total Energy'!AM16</f>
        <v>16785</v>
      </c>
      <c r="E20" s="492">
        <f>'Future Total Energy'!AO16</f>
        <v>121759.00762388816</v>
      </c>
      <c r="G20" s="124">
        <v>2019</v>
      </c>
      <c r="H20" s="56">
        <f t="shared" ref="H20:H51" si="20">$C20*I20</f>
        <v>8601.9390909090725</v>
      </c>
      <c r="I20" s="111">
        <f t="shared" si="10"/>
        <v>0.28563636363636302</v>
      </c>
      <c r="J20" s="56">
        <f t="shared" si="11"/>
        <v>0</v>
      </c>
      <c r="K20" s="111">
        <f t="shared" si="7"/>
        <v>0</v>
      </c>
      <c r="L20" s="56">
        <f t="shared" si="12"/>
        <v>21513.060909090927</v>
      </c>
      <c r="M20" s="111">
        <f t="shared" si="13"/>
        <v>0.71436363636363698</v>
      </c>
      <c r="N20" s="125">
        <f t="shared" si="8"/>
        <v>30115</v>
      </c>
      <c r="O20" s="482"/>
      <c r="P20" s="124">
        <v>2019</v>
      </c>
      <c r="Q20" s="56">
        <f t="shared" si="14"/>
        <v>4794.4063636363535</v>
      </c>
      <c r="R20" s="111">
        <f t="shared" si="15"/>
        <v>0.28563636363636302</v>
      </c>
      <c r="S20" s="56">
        <f t="shared" si="16"/>
        <v>0</v>
      </c>
      <c r="T20" s="111">
        <f t="shared" si="9"/>
        <v>0</v>
      </c>
      <c r="U20" s="56">
        <f t="shared" si="17"/>
        <v>11990.593636363647</v>
      </c>
      <c r="V20" s="111">
        <f t="shared" si="18"/>
        <v>0.71436363636363698</v>
      </c>
      <c r="W20" s="125">
        <f t="shared" si="19"/>
        <v>16785</v>
      </c>
      <c r="Y20" s="134">
        <v>2019</v>
      </c>
      <c r="Z20" s="116">
        <f>Commercial8Fuel!B18</f>
        <v>14440</v>
      </c>
      <c r="AA20" s="130">
        <f>Commercial8Fuel!C18</f>
        <v>0.12</v>
      </c>
      <c r="AB20" s="131">
        <f>Commercial8Fuel!D18</f>
        <v>574</v>
      </c>
      <c r="AC20" s="119">
        <f>Commercial8Fuel!E18</f>
        <v>0</v>
      </c>
      <c r="AD20" s="132">
        <f>Commercial8Fuel!F18</f>
        <v>107988</v>
      </c>
      <c r="AE20" s="133">
        <f>Commercial8Fuel!G18</f>
        <v>0.88</v>
      </c>
      <c r="AF20" s="125">
        <f>Commercial8Fuel!H18</f>
        <v>123001</v>
      </c>
    </row>
    <row r="21" spans="2:32">
      <c r="B21" s="23">
        <v>2020</v>
      </c>
      <c r="C21" s="113">
        <f>'Future Total Energy'!AL17</f>
        <v>32856</v>
      </c>
      <c r="D21" s="113">
        <f>'Future Total Energy'!AM17</f>
        <v>18119</v>
      </c>
      <c r="E21" s="492">
        <f>'Future Total Energy'!AO17</f>
        <v>122192.67683185093</v>
      </c>
      <c r="G21" s="124">
        <v>2020</v>
      </c>
      <c r="H21" s="56">
        <f t="shared" si="20"/>
        <v>9247.4705454545219</v>
      </c>
      <c r="I21" s="111">
        <f t="shared" si="10"/>
        <v>0.28145454545454474</v>
      </c>
      <c r="J21" s="56">
        <f t="shared" si="11"/>
        <v>0</v>
      </c>
      <c r="K21" s="111">
        <f t="shared" si="7"/>
        <v>0</v>
      </c>
      <c r="L21" s="56">
        <f t="shared" si="12"/>
        <v>23608.529454545478</v>
      </c>
      <c r="M21" s="111">
        <f t="shared" si="13"/>
        <v>0.71854545454545526</v>
      </c>
      <c r="N21" s="125">
        <f t="shared" si="8"/>
        <v>32856</v>
      </c>
      <c r="O21" s="482"/>
      <c r="P21" s="124">
        <v>2020</v>
      </c>
      <c r="Q21" s="56">
        <f t="shared" si="14"/>
        <v>5099.6749090908961</v>
      </c>
      <c r="R21" s="111">
        <f t="shared" si="15"/>
        <v>0.28145454545454474</v>
      </c>
      <c r="S21" s="56">
        <f t="shared" si="16"/>
        <v>0</v>
      </c>
      <c r="T21" s="111">
        <f t="shared" si="9"/>
        <v>0</v>
      </c>
      <c r="U21" s="56">
        <f t="shared" si="17"/>
        <v>13019.325090909104</v>
      </c>
      <c r="V21" s="111">
        <f t="shared" si="18"/>
        <v>0.71854545454545526</v>
      </c>
      <c r="W21" s="125">
        <f t="shared" si="19"/>
        <v>18119</v>
      </c>
      <c r="Y21" s="134">
        <v>2020</v>
      </c>
      <c r="Z21" s="116">
        <f>Commercial8Fuel!B19</f>
        <v>11847</v>
      </c>
      <c r="AA21" s="130">
        <f>Commercial8Fuel!C19</f>
        <v>0.1</v>
      </c>
      <c r="AB21" s="131">
        <f>Commercial8Fuel!D19</f>
        <v>498</v>
      </c>
      <c r="AC21" s="119">
        <f>Commercial8Fuel!E19</f>
        <v>0</v>
      </c>
      <c r="AD21" s="132">
        <f>Commercial8Fuel!F19</f>
        <v>102167</v>
      </c>
      <c r="AE21" s="133">
        <f>Commercial8Fuel!G19</f>
        <v>0.89</v>
      </c>
      <c r="AF21" s="125">
        <f>Commercial8Fuel!H19</f>
        <v>114512</v>
      </c>
    </row>
    <row r="22" spans="2:32">
      <c r="B22" s="23">
        <v>2021</v>
      </c>
      <c r="C22" s="113">
        <f>'Future Total Energy'!AL18</f>
        <v>32236</v>
      </c>
      <c r="D22" s="113">
        <f>'Future Total Energy'!AM18</f>
        <v>18298</v>
      </c>
      <c r="E22" s="492">
        <f>'Future Total Energy'!AO18</f>
        <v>123136.54510800513</v>
      </c>
      <c r="G22" s="124">
        <v>2021</v>
      </c>
      <c r="H22" s="56">
        <f>$C22*I22</f>
        <v>8938.1636363636098</v>
      </c>
      <c r="I22" s="111">
        <f>1-M22-K22</f>
        <v>0.27727272727272645</v>
      </c>
      <c r="J22" s="56">
        <f t="shared" si="11"/>
        <v>0</v>
      </c>
      <c r="K22" s="111">
        <f t="shared" si="7"/>
        <v>0</v>
      </c>
      <c r="L22" s="56">
        <f>$C22*M22</f>
        <v>23297.83636363639</v>
      </c>
      <c r="M22" s="111">
        <f t="shared" si="13"/>
        <v>0.72272727272727355</v>
      </c>
      <c r="N22" s="125">
        <f t="shared" si="8"/>
        <v>32236</v>
      </c>
      <c r="O22" s="482"/>
      <c r="P22" s="124">
        <v>2021</v>
      </c>
      <c r="Q22" s="56">
        <f t="shared" si="14"/>
        <v>5073.5363636363481</v>
      </c>
      <c r="R22" s="111">
        <f t="shared" si="15"/>
        <v>0.27727272727272645</v>
      </c>
      <c r="S22" s="56">
        <f t="shared" si="16"/>
        <v>0</v>
      </c>
      <c r="T22" s="111">
        <f t="shared" si="9"/>
        <v>0</v>
      </c>
      <c r="U22" s="56">
        <f t="shared" si="17"/>
        <v>13224.463636363651</v>
      </c>
      <c r="V22" s="111">
        <f t="shared" si="18"/>
        <v>0.72272727272727355</v>
      </c>
      <c r="W22" s="125">
        <f t="shared" si="19"/>
        <v>18298</v>
      </c>
      <c r="Y22" s="134">
        <v>2021</v>
      </c>
      <c r="Z22" s="116">
        <f>Commercial8Fuel!B20</f>
        <v>12353</v>
      </c>
      <c r="AA22" s="130">
        <f>Commercial8Fuel!C20</f>
        <v>0.1</v>
      </c>
      <c r="AB22" s="131">
        <f>Commercial8Fuel!D20</f>
        <v>490</v>
      </c>
      <c r="AC22" s="119">
        <f>Commercial8Fuel!E20</f>
        <v>0</v>
      </c>
      <c r="AD22" s="132">
        <f>Commercial8Fuel!F20</f>
        <v>107240</v>
      </c>
      <c r="AE22" s="133">
        <f>Commercial8Fuel!G20</f>
        <v>0.89</v>
      </c>
      <c r="AF22" s="125">
        <f>Commercial8Fuel!H20</f>
        <v>120083</v>
      </c>
    </row>
    <row r="23" spans="2:32">
      <c r="B23" s="23">
        <v>2022</v>
      </c>
      <c r="C23" s="113">
        <f>'Future Total Energy'!AL19</f>
        <v>32254.93092270906</v>
      </c>
      <c r="D23" s="113">
        <f>'Future Total Energy'!AM19</f>
        <v>18667.051424466426</v>
      </c>
      <c r="E23" s="492">
        <f>'Future Total Energy'!AO19</f>
        <v>124080.4133841593</v>
      </c>
      <c r="G23" s="124">
        <v>2022</v>
      </c>
      <c r="H23" s="56">
        <f>$C23*I23</f>
        <v>8808.5284083470615</v>
      </c>
      <c r="I23" s="111">
        <f>1-M23-K23</f>
        <v>0.27309090909090816</v>
      </c>
      <c r="J23" s="56">
        <f t="shared" si="11"/>
        <v>0</v>
      </c>
      <c r="K23" s="111">
        <f t="shared" si="7"/>
        <v>0</v>
      </c>
      <c r="L23" s="56">
        <f t="shared" si="12"/>
        <v>23446.402514361998</v>
      </c>
      <c r="M23" s="111">
        <f t="shared" si="13"/>
        <v>0.72690909090909184</v>
      </c>
      <c r="N23" s="125">
        <f t="shared" si="8"/>
        <v>32254.93092270906</v>
      </c>
      <c r="O23" s="482"/>
      <c r="P23" s="124">
        <v>2022</v>
      </c>
      <c r="Q23" s="56">
        <f t="shared" si="14"/>
        <v>5097.8020435542685</v>
      </c>
      <c r="R23" s="111">
        <f t="shared" si="15"/>
        <v>0.27309090909090816</v>
      </c>
      <c r="S23" s="56">
        <f t="shared" si="16"/>
        <v>0</v>
      </c>
      <c r="T23" s="111">
        <f t="shared" si="9"/>
        <v>0</v>
      </c>
      <c r="U23" s="56">
        <f t="shared" si="17"/>
        <v>13569.249380912157</v>
      </c>
      <c r="V23" s="111">
        <f t="shared" si="18"/>
        <v>0.72690909090909184</v>
      </c>
      <c r="W23" s="125">
        <f t="shared" si="19"/>
        <v>18667.051424466426</v>
      </c>
      <c r="Y23" s="134">
        <v>2022</v>
      </c>
      <c r="Z23" s="56">
        <v>15254</v>
      </c>
      <c r="AA23" s="111">
        <f>1-$AC23-$AE23</f>
        <v>0.10266666666666668</v>
      </c>
      <c r="AB23" s="56">
        <v>0</v>
      </c>
      <c r="AC23" s="17">
        <v>0.01</v>
      </c>
      <c r="AD23" s="56">
        <f>$AF23*AE23</f>
        <v>110100.68680954401</v>
      </c>
      <c r="AE23" s="111">
        <f>TREND(AE$13:AE$22,$G$13:$G$22,$G23)</f>
        <v>0.88733333333333331</v>
      </c>
      <c r="AF23" s="567">
        <f>'Future Total Energy'!AO19</f>
        <v>124080.4133841593</v>
      </c>
    </row>
    <row r="24" spans="2:32">
      <c r="B24" s="23">
        <v>2023</v>
      </c>
      <c r="C24" s="113">
        <f>'Future Total Energy'!AL20</f>
        <v>32587.991351763158</v>
      </c>
      <c r="D24" s="113">
        <f>'Future Total Energy'!AM20</f>
        <v>19225.251612034019</v>
      </c>
      <c r="E24" s="492">
        <f>'Future Total Energy'!AO20</f>
        <v>125024.28166031349</v>
      </c>
      <c r="G24" s="124">
        <v>2023</v>
      </c>
      <c r="H24" s="56">
        <f t="shared" si="20"/>
        <v>8763.2071289559135</v>
      </c>
      <c r="I24" s="111">
        <f t="shared" si="10"/>
        <v>0.26890909090908988</v>
      </c>
      <c r="J24" s="56">
        <f t="shared" si="11"/>
        <v>0</v>
      </c>
      <c r="K24" s="111">
        <f t="shared" si="7"/>
        <v>0</v>
      </c>
      <c r="L24" s="56">
        <f t="shared" si="12"/>
        <v>23824.784222807244</v>
      </c>
      <c r="M24" s="111">
        <f t="shared" si="13"/>
        <v>0.73109090909091012</v>
      </c>
      <c r="N24" s="125">
        <f t="shared" si="8"/>
        <v>32587.991351763158</v>
      </c>
      <c r="O24" s="482"/>
      <c r="P24" s="124">
        <v>2023</v>
      </c>
      <c r="Q24" s="56">
        <f t="shared" si="14"/>
        <v>5169.8449334905827</v>
      </c>
      <c r="R24" s="111">
        <f>1-V24-T24</f>
        <v>0.26890909090908988</v>
      </c>
      <c r="S24" s="56">
        <f t="shared" si="16"/>
        <v>0</v>
      </c>
      <c r="T24" s="111">
        <f t="shared" si="9"/>
        <v>0</v>
      </c>
      <c r="U24" s="56">
        <f t="shared" si="17"/>
        <v>14055.406678543437</v>
      </c>
      <c r="V24" s="111">
        <f t="shared" si="18"/>
        <v>0.73109090909091012</v>
      </c>
      <c r="W24" s="125">
        <f t="shared" si="19"/>
        <v>19225.251612034019</v>
      </c>
      <c r="Y24" s="134">
        <v>2023</v>
      </c>
      <c r="Z24" s="56">
        <v>15254</v>
      </c>
      <c r="AA24" s="111">
        <f t="shared" ref="AA24:AA51" si="21">1-$AC24-$AE24</f>
        <v>0.10042424242424164</v>
      </c>
      <c r="AB24" s="56">
        <f t="shared" ref="AB24:AB51" si="22">AF24*AC24</f>
        <v>1250.2428166031348</v>
      </c>
      <c r="AC24" s="17">
        <v>0.01</v>
      </c>
      <c r="AD24" s="56">
        <f t="shared" ref="AD24:AD51" si="23">$AF24*AE24</f>
        <v>111218.57007333836</v>
      </c>
      <c r="AE24" s="111">
        <f t="shared" ref="AE24:AE25" si="24">TREND(AE$13:AE$22,$G$13:$G$22,$G24)</f>
        <v>0.88957575757575835</v>
      </c>
      <c r="AF24" s="126">
        <f>'Future Total Energy'!AO20</f>
        <v>125024.28166031349</v>
      </c>
    </row>
    <row r="25" spans="2:32">
      <c r="B25" s="23">
        <v>2024</v>
      </c>
      <c r="C25" s="113">
        <f>'Future Total Energy'!AL21</f>
        <v>32900.815862824842</v>
      </c>
      <c r="D25" s="113">
        <f>'Future Total Energy'!AM21</f>
        <v>19782.280455038868</v>
      </c>
      <c r="E25" s="492">
        <f>'Future Total Energy'!AO21</f>
        <v>125968.14993646767</v>
      </c>
      <c r="G25" s="124">
        <v>2024</v>
      </c>
      <c r="H25" s="56">
        <f>$C25*I25</f>
        <v>8709.7432538677749</v>
      </c>
      <c r="I25" s="111">
        <f t="shared" si="10"/>
        <v>0.26472727272727159</v>
      </c>
      <c r="J25" s="56">
        <f t="shared" si="11"/>
        <v>0</v>
      </c>
      <c r="K25" s="111">
        <f t="shared" si="7"/>
        <v>0</v>
      </c>
      <c r="L25" s="56">
        <f t="shared" si="12"/>
        <v>24191.072608957067</v>
      </c>
      <c r="M25" s="111">
        <f t="shared" si="13"/>
        <v>0.73527272727272841</v>
      </c>
      <c r="N25" s="125">
        <f t="shared" si="8"/>
        <v>32900.815862824842</v>
      </c>
      <c r="O25" s="482"/>
      <c r="P25" s="124">
        <v>2024</v>
      </c>
      <c r="Q25" s="56">
        <f>$W25*R25</f>
        <v>5236.9091531884487</v>
      </c>
      <c r="R25" s="111">
        <f t="shared" si="15"/>
        <v>0.26472727272727159</v>
      </c>
      <c r="S25" s="56">
        <f t="shared" si="16"/>
        <v>0</v>
      </c>
      <c r="T25" s="111">
        <f t="shared" si="9"/>
        <v>0</v>
      </c>
      <c r="U25" s="56">
        <f t="shared" si="17"/>
        <v>14545.371301850419</v>
      </c>
      <c r="V25" s="111">
        <f t="shared" si="18"/>
        <v>0.73527272727272841</v>
      </c>
      <c r="W25" s="125">
        <f t="shared" si="19"/>
        <v>19782.280455038868</v>
      </c>
      <c r="Y25" s="134">
        <v>2024</v>
      </c>
      <c r="Z25" s="56">
        <v>15254</v>
      </c>
      <c r="AA25" s="111">
        <f t="shared" si="21"/>
        <v>9.8181818181817482E-2</v>
      </c>
      <c r="AB25" s="56">
        <f t="shared" si="22"/>
        <v>1259.6814993646767</v>
      </c>
      <c r="AC25" s="17">
        <v>0.01</v>
      </c>
      <c r="AD25" s="56">
        <f t="shared" si="23"/>
        <v>112340.6864433408</v>
      </c>
      <c r="AE25" s="111">
        <f t="shared" si="24"/>
        <v>0.89181818181818251</v>
      </c>
      <c r="AF25" s="126">
        <f>'Future Total Energy'!AO21</f>
        <v>125968.14993646767</v>
      </c>
    </row>
    <row r="26" spans="2:32">
      <c r="B26" s="23">
        <v>2025</v>
      </c>
      <c r="C26" s="113">
        <f>'Future Total Energy'!AL22</f>
        <v>33175.582749798814</v>
      </c>
      <c r="D26" s="113">
        <f>'Future Total Energy'!AM22</f>
        <v>20326.682992531456</v>
      </c>
      <c r="E26" s="492">
        <f>'Future Total Energy'!AO22</f>
        <v>126912.01821262186</v>
      </c>
      <c r="G26" s="124">
        <v>2025</v>
      </c>
      <c r="H26" s="56">
        <f t="shared" si="20"/>
        <v>8643.7472873566912</v>
      </c>
      <c r="I26" s="111">
        <f t="shared" si="10"/>
        <v>0.26054545454545508</v>
      </c>
      <c r="J26" s="56">
        <f t="shared" si="11"/>
        <v>0</v>
      </c>
      <c r="K26" s="111">
        <f t="shared" si="7"/>
        <v>0</v>
      </c>
      <c r="L26" s="56">
        <f t="shared" si="12"/>
        <v>24531.835462442123</v>
      </c>
      <c r="M26" s="111">
        <f t="shared" si="13"/>
        <v>0.73945454545454492</v>
      </c>
      <c r="N26" s="125">
        <f t="shared" si="8"/>
        <v>33175.582749798814</v>
      </c>
      <c r="O26" s="482"/>
      <c r="P26" s="124">
        <v>2025</v>
      </c>
      <c r="Q26" s="56">
        <f t="shared" si="14"/>
        <v>5296.0248596904794</v>
      </c>
      <c r="R26" s="111">
        <f t="shared" si="15"/>
        <v>0.26054545454545508</v>
      </c>
      <c r="S26" s="56">
        <f t="shared" si="16"/>
        <v>0</v>
      </c>
      <c r="T26" s="111">
        <f t="shared" si="9"/>
        <v>0</v>
      </c>
      <c r="U26" s="56">
        <f t="shared" si="17"/>
        <v>15030.658132840977</v>
      </c>
      <c r="V26" s="111">
        <f t="shared" si="18"/>
        <v>0.73945454545454492</v>
      </c>
      <c r="W26" s="125">
        <f t="shared" si="19"/>
        <v>20326.682992531456</v>
      </c>
      <c r="Y26" s="134">
        <v>2025</v>
      </c>
      <c r="Z26" s="56">
        <v>15254</v>
      </c>
      <c r="AA26" s="111">
        <f t="shared" si="21"/>
        <v>9.9999999999999978E-2</v>
      </c>
      <c r="AB26" s="56">
        <f t="shared" si="22"/>
        <v>1269.1201821262187</v>
      </c>
      <c r="AC26" s="17">
        <v>0.01</v>
      </c>
      <c r="AD26" s="56">
        <f>$AF26*AE26</f>
        <v>112951.69620923346</v>
      </c>
      <c r="AE26" s="111">
        <v>0.89</v>
      </c>
      <c r="AF26" s="126">
        <f>'Future Total Energy'!AO22</f>
        <v>126912.01821262186</v>
      </c>
    </row>
    <row r="27" spans="2:32">
      <c r="B27" s="23">
        <v>2026</v>
      </c>
      <c r="C27" s="113">
        <f>'Future Total Energy'!AL23</f>
        <v>33469.529138022364</v>
      </c>
      <c r="D27" s="113">
        <f>'Future Total Energy'!AM23</f>
        <v>20893.026017411648</v>
      </c>
      <c r="E27" s="492">
        <f>'Future Total Energy'!AO23</f>
        <v>127855.88648877604</v>
      </c>
      <c r="G27" s="124">
        <v>2026</v>
      </c>
      <c r="H27" s="56">
        <f t="shared" si="20"/>
        <v>8580.3701972021117</v>
      </c>
      <c r="I27" s="111">
        <f t="shared" si="10"/>
        <v>0.25636363636363679</v>
      </c>
      <c r="J27" s="56">
        <f t="shared" si="11"/>
        <v>0</v>
      </c>
      <c r="K27" s="111">
        <f t="shared" si="7"/>
        <v>0</v>
      </c>
      <c r="L27" s="56">
        <f t="shared" si="12"/>
        <v>24889.158940820253</v>
      </c>
      <c r="M27" s="111">
        <f t="shared" si="13"/>
        <v>0.74363636363636321</v>
      </c>
      <c r="N27" s="125">
        <f t="shared" si="8"/>
        <v>33469.529138022364</v>
      </c>
      <c r="O27" s="482"/>
      <c r="P27" s="124">
        <v>2026</v>
      </c>
      <c r="Q27" s="56">
        <f t="shared" si="14"/>
        <v>5356.2121244637228</v>
      </c>
      <c r="R27" s="111">
        <f t="shared" si="15"/>
        <v>0.25636363636363679</v>
      </c>
      <c r="S27" s="56">
        <f t="shared" si="16"/>
        <v>0</v>
      </c>
      <c r="T27" s="111">
        <f t="shared" si="9"/>
        <v>0</v>
      </c>
      <c r="U27" s="56">
        <f t="shared" si="17"/>
        <v>15536.813892947926</v>
      </c>
      <c r="V27" s="111">
        <f t="shared" si="18"/>
        <v>0.74363636363636321</v>
      </c>
      <c r="W27" s="125">
        <f t="shared" si="19"/>
        <v>20893.026017411648</v>
      </c>
      <c r="Y27" s="134">
        <v>2026</v>
      </c>
      <c r="Z27" s="56">
        <v>15254</v>
      </c>
      <c r="AA27" s="111">
        <f>1-$AC27-$AE27</f>
        <v>9.9999999999999978E-2</v>
      </c>
      <c r="AB27" s="56">
        <f t="shared" si="22"/>
        <v>1278.5588648877604</v>
      </c>
      <c r="AC27" s="17">
        <v>0.01</v>
      </c>
      <c r="AD27" s="56">
        <f>$AF27*AE27</f>
        <v>113791.73897501068</v>
      </c>
      <c r="AE27" s="111">
        <v>0.89</v>
      </c>
      <c r="AF27" s="126">
        <f>'Future Total Energy'!AO23</f>
        <v>127855.88648877604</v>
      </c>
    </row>
    <row r="28" spans="2:32">
      <c r="B28" s="23">
        <v>2027</v>
      </c>
      <c r="C28" s="113">
        <f>'Future Total Energy'!AL24</f>
        <v>33786.837094474526</v>
      </c>
      <c r="D28" s="113">
        <f>'Future Total Energy'!AM24</f>
        <v>21484.784183033695</v>
      </c>
      <c r="E28" s="492">
        <f>'Future Total Energy'!AO24</f>
        <v>128799.75476493021</v>
      </c>
      <c r="G28" s="124">
        <v>2027</v>
      </c>
      <c r="H28" s="56">
        <f t="shared" si="20"/>
        <v>8520.4260090974967</v>
      </c>
      <c r="I28" s="111">
        <f t="shared" si="10"/>
        <v>0.25218181818181851</v>
      </c>
      <c r="J28" s="56">
        <f t="shared" si="11"/>
        <v>0</v>
      </c>
      <c r="K28" s="111">
        <f t="shared" si="7"/>
        <v>0</v>
      </c>
      <c r="L28" s="56">
        <f t="shared" si="12"/>
        <v>25266.411085377029</v>
      </c>
      <c r="M28" s="111">
        <f t="shared" si="13"/>
        <v>0.74781818181818149</v>
      </c>
      <c r="N28" s="125">
        <f t="shared" si="8"/>
        <v>33786.837094474526</v>
      </c>
      <c r="O28" s="482"/>
      <c r="P28" s="124">
        <v>2027</v>
      </c>
      <c r="Q28" s="56">
        <f t="shared" si="14"/>
        <v>5418.0719385214134</v>
      </c>
      <c r="R28" s="111">
        <f t="shared" si="15"/>
        <v>0.25218181818181851</v>
      </c>
      <c r="S28" s="56">
        <f t="shared" si="16"/>
        <v>0</v>
      </c>
      <c r="T28" s="111">
        <f t="shared" si="9"/>
        <v>0</v>
      </c>
      <c r="U28" s="56">
        <f t="shared" si="17"/>
        <v>16066.712244512282</v>
      </c>
      <c r="V28" s="111">
        <f t="shared" si="18"/>
        <v>0.74781818181818149</v>
      </c>
      <c r="W28" s="125">
        <f t="shared" si="19"/>
        <v>21484.784183033695</v>
      </c>
      <c r="Y28" s="134">
        <v>2027</v>
      </c>
      <c r="Z28" s="56">
        <v>15254</v>
      </c>
      <c r="AA28" s="111">
        <f t="shared" si="21"/>
        <v>9.9999999999999978E-2</v>
      </c>
      <c r="AB28" s="56">
        <f t="shared" si="22"/>
        <v>1287.9975476493021</v>
      </c>
      <c r="AC28" s="17">
        <v>0.01</v>
      </c>
      <c r="AD28" s="56">
        <f t="shared" si="23"/>
        <v>114631.78174078789</v>
      </c>
      <c r="AE28" s="111">
        <v>0.89</v>
      </c>
      <c r="AF28" s="126">
        <f>'Future Total Energy'!AO24</f>
        <v>128799.75476493021</v>
      </c>
    </row>
    <row r="29" spans="2:32">
      <c r="B29" s="23">
        <v>2028</v>
      </c>
      <c r="C29" s="113">
        <f>'Future Total Energy'!AL25</f>
        <v>34123.315167083216</v>
      </c>
      <c r="D29" s="113">
        <f>'Future Total Energy'!AM25</f>
        <v>22100.221661363084</v>
      </c>
      <c r="E29" s="492">
        <f>'Future Total Energy'!AO25</f>
        <v>129743.62304108441</v>
      </c>
      <c r="G29" s="124">
        <v>2028</v>
      </c>
      <c r="H29" s="56">
        <f t="shared" si="20"/>
        <v>8462.582161436645</v>
      </c>
      <c r="I29" s="111">
        <f t="shared" si="10"/>
        <v>0.24800000000000022</v>
      </c>
      <c r="J29" s="56">
        <f t="shared" si="11"/>
        <v>0</v>
      </c>
      <c r="K29" s="111">
        <f t="shared" si="7"/>
        <v>0</v>
      </c>
      <c r="L29" s="56">
        <f t="shared" si="12"/>
        <v>25660.733005646573</v>
      </c>
      <c r="M29" s="111">
        <f t="shared" si="13"/>
        <v>0.75199999999999978</v>
      </c>
      <c r="N29" s="125">
        <f t="shared" si="8"/>
        <v>34123.315167083216</v>
      </c>
      <c r="O29" s="482"/>
      <c r="P29" s="124">
        <v>2028</v>
      </c>
      <c r="Q29" s="56">
        <f t="shared" si="14"/>
        <v>5480.8549720180499</v>
      </c>
      <c r="R29" s="111">
        <f t="shared" si="15"/>
        <v>0.24800000000000022</v>
      </c>
      <c r="S29" s="56">
        <f t="shared" si="16"/>
        <v>0</v>
      </c>
      <c r="T29" s="111">
        <f t="shared" si="9"/>
        <v>0</v>
      </c>
      <c r="U29" s="56">
        <f t="shared" si="17"/>
        <v>16619.366689345035</v>
      </c>
      <c r="V29" s="111">
        <f t="shared" si="18"/>
        <v>0.75199999999999978</v>
      </c>
      <c r="W29" s="125">
        <f t="shared" si="19"/>
        <v>22100.221661363084</v>
      </c>
      <c r="Y29" s="134">
        <v>2028</v>
      </c>
      <c r="Z29" s="56">
        <v>15254</v>
      </c>
      <c r="AA29" s="111">
        <f t="shared" si="21"/>
        <v>9.9999999999999978E-2</v>
      </c>
      <c r="AB29" s="56">
        <f t="shared" si="22"/>
        <v>1297.4362304108442</v>
      </c>
      <c r="AC29" s="17">
        <v>0.01</v>
      </c>
      <c r="AD29" s="56">
        <f t="shared" si="23"/>
        <v>115471.82450656513</v>
      </c>
      <c r="AE29" s="111">
        <v>0.89</v>
      </c>
      <c r="AF29" s="126">
        <f>'Future Total Energy'!AO25</f>
        <v>129743.62304108441</v>
      </c>
    </row>
    <row r="30" spans="2:32">
      <c r="B30" s="23">
        <v>2029</v>
      </c>
      <c r="C30" s="113">
        <f>'Future Total Energy'!AL26</f>
        <v>34465.341143398044</v>
      </c>
      <c r="D30" s="113">
        <f>'Future Total Energy'!AM26</f>
        <v>22731.202646985614</v>
      </c>
      <c r="E30" s="492">
        <f>'Future Total Energy'!AO26</f>
        <v>130687.4913172386</v>
      </c>
      <c r="G30" s="124">
        <v>2029</v>
      </c>
      <c r="H30" s="56">
        <f t="shared" si="20"/>
        <v>8403.2768133266909</v>
      </c>
      <c r="I30" s="111">
        <f t="shared" si="10"/>
        <v>0.24381818181818193</v>
      </c>
      <c r="J30" s="56">
        <f t="shared" si="11"/>
        <v>0</v>
      </c>
      <c r="K30" s="111">
        <f t="shared" si="7"/>
        <v>0</v>
      </c>
      <c r="L30" s="56">
        <f t="shared" si="12"/>
        <v>26062.064330071353</v>
      </c>
      <c r="M30" s="111">
        <f t="shared" si="13"/>
        <v>0.75618181818181807</v>
      </c>
      <c r="N30" s="125">
        <f t="shared" si="8"/>
        <v>34465.341143398044</v>
      </c>
      <c r="O30" s="482"/>
      <c r="P30" s="124">
        <v>2029</v>
      </c>
      <c r="Q30" s="56">
        <f t="shared" si="14"/>
        <v>5542.2804999286764</v>
      </c>
      <c r="R30" s="111">
        <f t="shared" si="15"/>
        <v>0.24381818181818193</v>
      </c>
      <c r="S30" s="56">
        <f t="shared" si="16"/>
        <v>0</v>
      </c>
      <c r="T30" s="111">
        <f t="shared" si="9"/>
        <v>0</v>
      </c>
      <c r="U30" s="56">
        <f t="shared" si="17"/>
        <v>17188.922147056936</v>
      </c>
      <c r="V30" s="111">
        <f t="shared" si="18"/>
        <v>0.75618181818181807</v>
      </c>
      <c r="W30" s="125">
        <f t="shared" si="19"/>
        <v>22731.202646985614</v>
      </c>
      <c r="Y30" s="134">
        <v>2029</v>
      </c>
      <c r="Z30" s="56">
        <v>15254</v>
      </c>
      <c r="AA30" s="111">
        <f t="shared" si="21"/>
        <v>9.9999999999999978E-2</v>
      </c>
      <c r="AB30" s="56">
        <f t="shared" si="22"/>
        <v>1306.874913172386</v>
      </c>
      <c r="AC30" s="17">
        <v>0.01</v>
      </c>
      <c r="AD30" s="56">
        <f t="shared" si="23"/>
        <v>116311.86727234235</v>
      </c>
      <c r="AE30" s="111">
        <v>0.89</v>
      </c>
      <c r="AF30" s="126">
        <f>'Future Total Energy'!AO26</f>
        <v>130687.4913172386</v>
      </c>
    </row>
    <row r="31" spans="2:32">
      <c r="B31" s="23">
        <v>2030</v>
      </c>
      <c r="C31" s="113">
        <f>'Future Total Energy'!AL27</f>
        <v>34806.684518175498</v>
      </c>
      <c r="D31" s="113">
        <f>'Future Total Energy'!AM27</f>
        <v>23373.918094232919</v>
      </c>
      <c r="E31" s="492">
        <f>'Future Total Energy'!AO27</f>
        <v>131631.35959339279</v>
      </c>
      <c r="G31" s="124">
        <v>2030</v>
      </c>
      <c r="H31" s="56">
        <f t="shared" si="20"/>
        <v>8340.9473081736924</v>
      </c>
      <c r="I31" s="111">
        <f t="shared" si="10"/>
        <v>0.23963636363636365</v>
      </c>
      <c r="J31" s="56">
        <f t="shared" si="11"/>
        <v>0</v>
      </c>
      <c r="K31" s="111">
        <f t="shared" si="7"/>
        <v>0</v>
      </c>
      <c r="L31" s="56">
        <f t="shared" si="12"/>
        <v>26465.737210001804</v>
      </c>
      <c r="M31" s="111">
        <f t="shared" si="13"/>
        <v>0.76036363636363635</v>
      </c>
      <c r="N31" s="125">
        <f t="shared" si="8"/>
        <v>34806.684518175498</v>
      </c>
      <c r="O31" s="482"/>
      <c r="P31" s="124">
        <v>2030</v>
      </c>
      <c r="Q31" s="56">
        <f t="shared" si="14"/>
        <v>5601.2407360361794</v>
      </c>
      <c r="R31" s="111">
        <f t="shared" si="15"/>
        <v>0.23963636363636365</v>
      </c>
      <c r="S31" s="56">
        <f t="shared" si="16"/>
        <v>0</v>
      </c>
      <c r="T31" s="111">
        <f t="shared" si="9"/>
        <v>0</v>
      </c>
      <c r="U31" s="56">
        <f t="shared" si="17"/>
        <v>17772.677358196739</v>
      </c>
      <c r="V31" s="111">
        <f t="shared" si="18"/>
        <v>0.76036363636363635</v>
      </c>
      <c r="W31" s="125">
        <f t="shared" si="19"/>
        <v>23373.918094232919</v>
      </c>
      <c r="Y31" s="134">
        <v>2030</v>
      </c>
      <c r="Z31" s="56">
        <v>15254</v>
      </c>
      <c r="AA31" s="111">
        <f t="shared" si="21"/>
        <v>9.9999999999999978E-2</v>
      </c>
      <c r="AB31" s="56">
        <f t="shared" si="22"/>
        <v>1316.3135959339279</v>
      </c>
      <c r="AC31" s="17">
        <v>0.01</v>
      </c>
      <c r="AD31" s="56">
        <f t="shared" si="23"/>
        <v>117151.91003811957</v>
      </c>
      <c r="AE31" s="111">
        <v>0.89</v>
      </c>
      <c r="AF31" s="126">
        <f>'Future Total Energy'!AO27</f>
        <v>131631.35959339279</v>
      </c>
    </row>
    <row r="32" spans="2:32">
      <c r="B32" s="23">
        <v>2031</v>
      </c>
      <c r="C32" s="113">
        <f>'Future Total Energy'!AL28</f>
        <v>35136.972239922768</v>
      </c>
      <c r="D32" s="113">
        <f>'Future Total Energy'!AM28</f>
        <v>24021.432359192349</v>
      </c>
      <c r="E32" s="492">
        <f>'Future Total Energy'!AO28</f>
        <v>132575.22786954694</v>
      </c>
      <c r="G32" s="124">
        <v>2031</v>
      </c>
      <c r="H32" s="56">
        <f t="shared" si="20"/>
        <v>8273.1598273999934</v>
      </c>
      <c r="I32" s="111">
        <f t="shared" si="10"/>
        <v>0.23545454545454536</v>
      </c>
      <c r="J32" s="56">
        <f t="shared" si="11"/>
        <v>0</v>
      </c>
      <c r="K32" s="111">
        <f t="shared" si="7"/>
        <v>0</v>
      </c>
      <c r="L32" s="56">
        <f t="shared" si="12"/>
        <v>26863.812412522773</v>
      </c>
      <c r="M32" s="111">
        <f t="shared" si="13"/>
        <v>0.76454545454545464</v>
      </c>
      <c r="N32" s="125">
        <f t="shared" si="8"/>
        <v>35136.972239922768</v>
      </c>
      <c r="O32" s="482"/>
      <c r="P32" s="124">
        <v>2031</v>
      </c>
      <c r="Q32" s="56">
        <f t="shared" si="14"/>
        <v>5655.9554373007422</v>
      </c>
      <c r="R32" s="111">
        <f t="shared" si="15"/>
        <v>0.23545454545454536</v>
      </c>
      <c r="S32" s="56">
        <f t="shared" si="16"/>
        <v>0</v>
      </c>
      <c r="T32" s="111">
        <f t="shared" si="9"/>
        <v>0</v>
      </c>
      <c r="U32" s="56">
        <f t="shared" si="17"/>
        <v>18365.476921891608</v>
      </c>
      <c r="V32" s="111">
        <f t="shared" si="18"/>
        <v>0.76454545454545464</v>
      </c>
      <c r="W32" s="125">
        <f t="shared" si="19"/>
        <v>24021.432359192349</v>
      </c>
      <c r="Y32" s="134">
        <v>2031</v>
      </c>
      <c r="Z32" s="56">
        <v>15254</v>
      </c>
      <c r="AA32" s="111">
        <f t="shared" si="21"/>
        <v>9.9999999999999978E-2</v>
      </c>
      <c r="AB32" s="56">
        <f t="shared" si="22"/>
        <v>1325.7522786954694</v>
      </c>
      <c r="AC32" s="17">
        <v>0.01</v>
      </c>
      <c r="AD32" s="56">
        <f t="shared" si="23"/>
        <v>117991.95280389678</v>
      </c>
      <c r="AE32" s="111">
        <v>0.89</v>
      </c>
      <c r="AF32" s="126">
        <f>'Future Total Energy'!AO28</f>
        <v>132575.22786954694</v>
      </c>
    </row>
    <row r="33" spans="2:32">
      <c r="B33" s="23">
        <v>2032</v>
      </c>
      <c r="C33" s="113">
        <f>'Future Total Energy'!AL29</f>
        <v>35463.711314723798</v>
      </c>
      <c r="D33" s="113">
        <f>'Future Total Energy'!AM29</f>
        <v>24678.747694487658</v>
      </c>
      <c r="E33" s="492">
        <f>'Future Total Energy'!AO29</f>
        <v>133519.09614570116</v>
      </c>
      <c r="G33" s="124">
        <v>2032</v>
      </c>
      <c r="H33" s="56">
        <f t="shared" si="20"/>
        <v>8201.7892349688427</v>
      </c>
      <c r="I33" s="111">
        <f t="shared" si="10"/>
        <v>0.23127272727272707</v>
      </c>
      <c r="J33" s="56">
        <f t="shared" si="11"/>
        <v>0</v>
      </c>
      <c r="K33" s="111">
        <f t="shared" si="7"/>
        <v>0</v>
      </c>
      <c r="L33" s="56">
        <f t="shared" si="12"/>
        <v>27261.922079754957</v>
      </c>
      <c r="M33" s="111">
        <f t="shared" si="13"/>
        <v>0.76872727272727293</v>
      </c>
      <c r="N33" s="125">
        <f t="shared" si="8"/>
        <v>35463.711314723798</v>
      </c>
      <c r="O33" s="482"/>
      <c r="P33" s="124">
        <v>2032</v>
      </c>
      <c r="Q33" s="56">
        <f t="shared" si="14"/>
        <v>5707.5212849796862</v>
      </c>
      <c r="R33" s="111">
        <f t="shared" si="15"/>
        <v>0.23127272727272707</v>
      </c>
      <c r="S33" s="56">
        <f t="shared" si="16"/>
        <v>0</v>
      </c>
      <c r="T33" s="111">
        <f t="shared" si="9"/>
        <v>0</v>
      </c>
      <c r="U33" s="56">
        <f t="shared" si="17"/>
        <v>18971.226409507974</v>
      </c>
      <c r="V33" s="111">
        <f t="shared" si="18"/>
        <v>0.76872727272727293</v>
      </c>
      <c r="W33" s="125">
        <f t="shared" si="19"/>
        <v>24678.747694487658</v>
      </c>
      <c r="Y33" s="134">
        <v>2032</v>
      </c>
      <c r="Z33" s="56">
        <v>15254</v>
      </c>
      <c r="AA33" s="111">
        <f t="shared" si="21"/>
        <v>9.9999999999999978E-2</v>
      </c>
      <c r="AB33" s="56">
        <f t="shared" si="22"/>
        <v>1335.1909614570116</v>
      </c>
      <c r="AC33" s="17">
        <v>0.01</v>
      </c>
      <c r="AD33" s="56">
        <f t="shared" si="23"/>
        <v>118831.99556967404</v>
      </c>
      <c r="AE33" s="111">
        <v>0.89</v>
      </c>
      <c r="AF33" s="126">
        <f>'Future Total Energy'!AO29</f>
        <v>133519.09614570116</v>
      </c>
    </row>
    <row r="34" spans="2:32">
      <c r="B34" s="23">
        <v>2033</v>
      </c>
      <c r="C34" s="113">
        <f>'Future Total Energy'!AL30</f>
        <v>35790.451912787816</v>
      </c>
      <c r="D34" s="113">
        <f>'Future Total Energy'!AM30</f>
        <v>25348.43060918885</v>
      </c>
      <c r="E34" s="492">
        <f>'Future Total Energy'!AO30</f>
        <v>134462.96442185534</v>
      </c>
      <c r="G34" s="124">
        <v>2033</v>
      </c>
      <c r="H34" s="56">
        <f t="shared" si="20"/>
        <v>8127.68626164944</v>
      </c>
      <c r="I34" s="111">
        <f t="shared" si="10"/>
        <v>0.22709090909090879</v>
      </c>
      <c r="J34" s="56">
        <f t="shared" si="11"/>
        <v>0</v>
      </c>
      <c r="K34" s="111">
        <f t="shared" si="7"/>
        <v>0</v>
      </c>
      <c r="L34" s="56">
        <f t="shared" si="12"/>
        <v>27662.765651138376</v>
      </c>
      <c r="M34" s="111">
        <f t="shared" si="13"/>
        <v>0.77290909090909121</v>
      </c>
      <c r="N34" s="125">
        <f t="shared" si="8"/>
        <v>35790.451912787816</v>
      </c>
      <c r="O34" s="482"/>
      <c r="P34" s="124">
        <v>2033</v>
      </c>
      <c r="Q34" s="56">
        <f t="shared" si="14"/>
        <v>5756.3981510685153</v>
      </c>
      <c r="R34" s="111">
        <f t="shared" si="15"/>
        <v>0.22709090909090879</v>
      </c>
      <c r="S34" s="56">
        <f t="shared" si="16"/>
        <v>0</v>
      </c>
      <c r="T34" s="111">
        <f t="shared" si="9"/>
        <v>0</v>
      </c>
      <c r="U34" s="56">
        <f t="shared" si="17"/>
        <v>19592.032458120335</v>
      </c>
      <c r="V34" s="111">
        <f t="shared" si="18"/>
        <v>0.77290909090909121</v>
      </c>
      <c r="W34" s="125">
        <f t="shared" si="19"/>
        <v>25348.43060918885</v>
      </c>
      <c r="Y34" s="134">
        <v>2033</v>
      </c>
      <c r="Z34" s="56">
        <v>15254</v>
      </c>
      <c r="AA34" s="111">
        <f t="shared" si="21"/>
        <v>9.9999999999999978E-2</v>
      </c>
      <c r="AB34" s="56">
        <f t="shared" si="22"/>
        <v>1344.6296442185535</v>
      </c>
      <c r="AC34" s="17">
        <v>0.01</v>
      </c>
      <c r="AD34" s="56">
        <f t="shared" si="23"/>
        <v>119672.03833545126</v>
      </c>
      <c r="AE34" s="111">
        <v>0.89</v>
      </c>
      <c r="AF34" s="126">
        <f>'Future Total Energy'!AO30</f>
        <v>134462.96442185534</v>
      </c>
    </row>
    <row r="35" spans="2:32">
      <c r="B35" s="23">
        <v>2034</v>
      </c>
      <c r="C35" s="113">
        <f>'Future Total Energy'!AL31</f>
        <v>36118.98150106598</v>
      </c>
      <c r="D35" s="113">
        <f>'Future Total Energy'!AM31</f>
        <v>26031.955484561564</v>
      </c>
      <c r="E35" s="492">
        <f>'Future Total Energy'!AO31</f>
        <v>135406.8326980095</v>
      </c>
      <c r="G35" s="124">
        <v>2034</v>
      </c>
      <c r="H35" s="56">
        <f t="shared" si="20"/>
        <v>8051.2493309648744</v>
      </c>
      <c r="I35" s="111">
        <f t="shared" si="10"/>
        <v>0.2229090909090905</v>
      </c>
      <c r="J35" s="56">
        <f t="shared" si="11"/>
        <v>0</v>
      </c>
      <c r="K35" s="111">
        <f t="shared" si="7"/>
        <v>0</v>
      </c>
      <c r="L35" s="56">
        <f t="shared" si="12"/>
        <v>28067.732170101106</v>
      </c>
      <c r="M35" s="111">
        <f t="shared" si="13"/>
        <v>0.7770909090909095</v>
      </c>
      <c r="N35" s="125">
        <f t="shared" si="8"/>
        <v>36118.98150106598</v>
      </c>
      <c r="O35" s="482"/>
      <c r="P35" s="124">
        <v>2034</v>
      </c>
      <c r="Q35" s="56">
        <f t="shared" si="14"/>
        <v>5802.7595316495308</v>
      </c>
      <c r="R35" s="111">
        <f t="shared" si="15"/>
        <v>0.2229090909090905</v>
      </c>
      <c r="S35" s="56">
        <f t="shared" si="16"/>
        <v>0</v>
      </c>
      <c r="T35" s="111">
        <f t="shared" si="9"/>
        <v>0</v>
      </c>
      <c r="U35" s="56">
        <f t="shared" si="17"/>
        <v>20229.195952912032</v>
      </c>
      <c r="V35" s="111">
        <f t="shared" si="18"/>
        <v>0.7770909090909095</v>
      </c>
      <c r="W35" s="125">
        <f t="shared" si="19"/>
        <v>26031.955484561564</v>
      </c>
      <c r="Y35" s="134">
        <v>2034</v>
      </c>
      <c r="Z35" s="56">
        <v>15254</v>
      </c>
      <c r="AA35" s="111">
        <f t="shared" si="21"/>
        <v>9.9999999999999978E-2</v>
      </c>
      <c r="AB35" s="56">
        <f t="shared" si="22"/>
        <v>1354.068326980095</v>
      </c>
      <c r="AC35" s="17">
        <v>0.01</v>
      </c>
      <c r="AD35" s="56">
        <f t="shared" si="23"/>
        <v>120512.08110122845</v>
      </c>
      <c r="AE35" s="111">
        <v>0.89</v>
      </c>
      <c r="AF35" s="126">
        <f>'Future Total Energy'!AO31</f>
        <v>135406.8326980095</v>
      </c>
    </row>
    <row r="36" spans="2:32">
      <c r="B36" s="23">
        <v>2035</v>
      </c>
      <c r="C36" s="113">
        <f>'Future Total Energy'!AL32</f>
        <v>36455.222638713669</v>
      </c>
      <c r="D36" s="113">
        <f>'Future Total Energy'!AM32</f>
        <v>26733.923011174582</v>
      </c>
      <c r="E36" s="492">
        <f>'Future Total Energy'!AO32</f>
        <v>136350.70097416369</v>
      </c>
      <c r="G36" s="124">
        <v>2035</v>
      </c>
      <c r="H36" s="56">
        <f t="shared" si="20"/>
        <v>7973.7514244313525</v>
      </c>
      <c r="I36" s="111">
        <f t="shared" si="10"/>
        <v>0.21872727272727222</v>
      </c>
      <c r="J36" s="56">
        <f t="shared" si="11"/>
        <v>0</v>
      </c>
      <c r="K36" s="111">
        <f t="shared" si="7"/>
        <v>0</v>
      </c>
      <c r="L36" s="56">
        <f t="shared" si="12"/>
        <v>28481.471214282315</v>
      </c>
      <c r="M36" s="111">
        <f t="shared" si="13"/>
        <v>0.78127272727272778</v>
      </c>
      <c r="N36" s="125">
        <f t="shared" si="8"/>
        <v>36455.222638713669</v>
      </c>
      <c r="O36" s="482"/>
      <c r="P36" s="124">
        <v>2035</v>
      </c>
      <c r="Q36" s="56">
        <f t="shared" si="14"/>
        <v>5847.438069535081</v>
      </c>
      <c r="R36" s="111">
        <f t="shared" si="15"/>
        <v>0.21872727272727222</v>
      </c>
      <c r="S36" s="56">
        <f t="shared" si="16"/>
        <v>0</v>
      </c>
      <c r="T36" s="111">
        <f t="shared" si="9"/>
        <v>0</v>
      </c>
      <c r="U36" s="56">
        <f t="shared" si="17"/>
        <v>20886.484941639501</v>
      </c>
      <c r="V36" s="111">
        <f t="shared" si="18"/>
        <v>0.78127272727272778</v>
      </c>
      <c r="W36" s="125">
        <f t="shared" si="19"/>
        <v>26733.923011174582</v>
      </c>
      <c r="Y36" s="134">
        <v>2035</v>
      </c>
      <c r="Z36" s="56">
        <v>15254</v>
      </c>
      <c r="AA36" s="111">
        <f t="shared" si="21"/>
        <v>9.9999999999999978E-2</v>
      </c>
      <c r="AB36" s="56">
        <f t="shared" si="22"/>
        <v>1363.5070097416369</v>
      </c>
      <c r="AC36" s="17">
        <v>0.01</v>
      </c>
      <c r="AD36" s="56">
        <f t="shared" si="23"/>
        <v>121352.12386700568</v>
      </c>
      <c r="AE36" s="111">
        <v>0.89</v>
      </c>
      <c r="AF36" s="126">
        <f>'Future Total Energy'!AO32</f>
        <v>136350.70097416369</v>
      </c>
    </row>
    <row r="37" spans="2:32">
      <c r="B37" s="23">
        <v>2036</v>
      </c>
      <c r="C37" s="113">
        <f>'Future Total Energy'!AL33</f>
        <v>36755.250474104556</v>
      </c>
      <c r="D37" s="113">
        <f>'Future Total Energy'!AM33</f>
        <v>27422.051069223926</v>
      </c>
      <c r="E37" s="492">
        <f>'Future Total Energy'!AO33</f>
        <v>137294.56925031758</v>
      </c>
      <c r="G37" s="124">
        <v>2036</v>
      </c>
      <c r="H37" s="56">
        <f t="shared" si="20"/>
        <v>7885.671919898773</v>
      </c>
      <c r="I37" s="111">
        <f t="shared" si="10"/>
        <v>0.21454545454545393</v>
      </c>
      <c r="J37" s="56">
        <f t="shared" si="11"/>
        <v>0</v>
      </c>
      <c r="K37" s="111">
        <f t="shared" si="7"/>
        <v>0</v>
      </c>
      <c r="L37" s="56">
        <f t="shared" si="12"/>
        <v>28869.578554205782</v>
      </c>
      <c r="M37" s="111">
        <f t="shared" si="13"/>
        <v>0.78545454545454607</v>
      </c>
      <c r="N37" s="125">
        <f t="shared" si="8"/>
        <v>36755.250474104556</v>
      </c>
      <c r="O37" s="482"/>
      <c r="P37" s="124">
        <v>2036</v>
      </c>
      <c r="Q37" s="56">
        <f t="shared" si="14"/>
        <v>5883.2764112152981</v>
      </c>
      <c r="R37" s="111">
        <f t="shared" si="15"/>
        <v>0.21454545454545393</v>
      </c>
      <c r="S37" s="56">
        <f t="shared" si="16"/>
        <v>0</v>
      </c>
      <c r="T37" s="111">
        <f t="shared" si="9"/>
        <v>0</v>
      </c>
      <c r="U37" s="56">
        <f t="shared" si="17"/>
        <v>21538.774658008628</v>
      </c>
      <c r="V37" s="111">
        <f t="shared" si="18"/>
        <v>0.78545454545454607</v>
      </c>
      <c r="W37" s="125">
        <f t="shared" si="19"/>
        <v>27422.051069223926</v>
      </c>
      <c r="Y37" s="134">
        <v>2036</v>
      </c>
      <c r="Z37" s="56">
        <v>15254</v>
      </c>
      <c r="AA37" s="111">
        <f t="shared" si="21"/>
        <v>9.9999999999999978E-2</v>
      </c>
      <c r="AB37" s="56">
        <f t="shared" si="22"/>
        <v>1372.9456925031759</v>
      </c>
      <c r="AC37" s="17">
        <v>0.01</v>
      </c>
      <c r="AD37" s="56">
        <f t="shared" si="23"/>
        <v>122192.16663278265</v>
      </c>
      <c r="AE37" s="111">
        <v>0.89</v>
      </c>
      <c r="AF37" s="126">
        <f>'Future Total Energy'!AO33</f>
        <v>137294.56925031758</v>
      </c>
    </row>
    <row r="38" spans="2:32">
      <c r="B38" s="23">
        <v>2037</v>
      </c>
      <c r="C38" s="113">
        <f>'Future Total Energy'!AL34</f>
        <v>37058.164798782207</v>
      </c>
      <c r="D38" s="113">
        <f>'Future Total Energy'!AM34</f>
        <v>28124.817526874493</v>
      </c>
      <c r="E38" s="492">
        <f>'Future Total Energy'!AO34</f>
        <v>138238.4375264718</v>
      </c>
      <c r="G38" s="124">
        <v>2037</v>
      </c>
      <c r="H38" s="56">
        <f t="shared" si="20"/>
        <v>7795.6903040347033</v>
      </c>
      <c r="I38" s="111">
        <f t="shared" si="10"/>
        <v>0.21036363636363564</v>
      </c>
      <c r="J38" s="56">
        <f t="shared" si="11"/>
        <v>0</v>
      </c>
      <c r="K38" s="111">
        <f t="shared" si="7"/>
        <v>0</v>
      </c>
      <c r="L38" s="56">
        <f t="shared" si="12"/>
        <v>29262.474494747505</v>
      </c>
      <c r="M38" s="111">
        <f t="shared" si="13"/>
        <v>0.78963636363636436</v>
      </c>
      <c r="N38" s="125">
        <f t="shared" si="8"/>
        <v>37058.164798782207</v>
      </c>
      <c r="O38" s="482"/>
      <c r="P38" s="124">
        <v>2037</v>
      </c>
      <c r="Q38" s="56">
        <f t="shared" si="14"/>
        <v>5916.4388870170324</v>
      </c>
      <c r="R38" s="111">
        <f t="shared" si="15"/>
        <v>0.21036363636363564</v>
      </c>
      <c r="S38" s="56">
        <f t="shared" si="16"/>
        <v>0</v>
      </c>
      <c r="T38" s="111">
        <f t="shared" si="9"/>
        <v>0</v>
      </c>
      <c r="U38" s="56">
        <f t="shared" si="17"/>
        <v>22208.378639857459</v>
      </c>
      <c r="V38" s="111">
        <f t="shared" si="18"/>
        <v>0.78963636363636436</v>
      </c>
      <c r="W38" s="125">
        <f t="shared" si="19"/>
        <v>28124.817526874493</v>
      </c>
      <c r="Y38" s="134">
        <v>2037</v>
      </c>
      <c r="Z38" s="56">
        <v>15254</v>
      </c>
      <c r="AA38" s="111">
        <f t="shared" si="21"/>
        <v>9.9999999999999978E-2</v>
      </c>
      <c r="AB38" s="56">
        <f t="shared" si="22"/>
        <v>1382.3843752647181</v>
      </c>
      <c r="AC38" s="17">
        <v>0.01</v>
      </c>
      <c r="AD38" s="56">
        <f t="shared" si="23"/>
        <v>123032.20939855991</v>
      </c>
      <c r="AE38" s="111">
        <v>0.89</v>
      </c>
      <c r="AF38" s="126">
        <f>'Future Total Energy'!AO34</f>
        <v>138238.4375264718</v>
      </c>
    </row>
    <row r="39" spans="2:32">
      <c r="B39" s="23">
        <v>2038</v>
      </c>
      <c r="C39" s="113">
        <f>'Future Total Energy'!AL35</f>
        <v>37346.884930835251</v>
      </c>
      <c r="D39" s="113">
        <f>'Future Total Energy'!AM35</f>
        <v>28829.340871077267</v>
      </c>
      <c r="E39" s="492">
        <f>'Future Total Energy'!AO35</f>
        <v>139182.30580262595</v>
      </c>
      <c r="G39" s="124">
        <v>2038</v>
      </c>
      <c r="H39" s="56">
        <f t="shared" si="20"/>
        <v>7700.2486384667282</v>
      </c>
      <c r="I39" s="111">
        <f t="shared" si="10"/>
        <v>0.20618181818181736</v>
      </c>
      <c r="J39" s="56">
        <f t="shared" si="11"/>
        <v>0</v>
      </c>
      <c r="K39" s="111">
        <f t="shared" si="7"/>
        <v>0</v>
      </c>
      <c r="L39" s="56">
        <f t="shared" si="12"/>
        <v>29646.636292368523</v>
      </c>
      <c r="M39" s="111">
        <f t="shared" si="13"/>
        <v>0.79381818181818264</v>
      </c>
      <c r="N39" s="125">
        <f t="shared" si="8"/>
        <v>37346.884930835251</v>
      </c>
      <c r="O39" s="482"/>
      <c r="P39" s="124">
        <v>2038</v>
      </c>
      <c r="Q39" s="56">
        <f t="shared" si="14"/>
        <v>5944.0859177820894</v>
      </c>
      <c r="R39" s="111">
        <f t="shared" si="15"/>
        <v>0.20618181818181736</v>
      </c>
      <c r="S39" s="56">
        <f t="shared" si="16"/>
        <v>0</v>
      </c>
      <c r="T39" s="111">
        <f t="shared" si="9"/>
        <v>0</v>
      </c>
      <c r="U39" s="56">
        <f t="shared" si="17"/>
        <v>22885.254953295178</v>
      </c>
      <c r="V39" s="111">
        <f t="shared" si="18"/>
        <v>0.79381818181818264</v>
      </c>
      <c r="W39" s="125">
        <f t="shared" si="19"/>
        <v>28829.340871077267</v>
      </c>
      <c r="Y39" s="134">
        <v>2038</v>
      </c>
      <c r="Z39" s="56">
        <v>15254</v>
      </c>
      <c r="AA39" s="111">
        <f t="shared" si="21"/>
        <v>9.9999999999999978E-2</v>
      </c>
      <c r="AB39" s="56">
        <f t="shared" si="22"/>
        <v>1391.8230580262596</v>
      </c>
      <c r="AC39" s="17">
        <v>0.01</v>
      </c>
      <c r="AD39" s="56">
        <f t="shared" si="23"/>
        <v>123872.2521643371</v>
      </c>
      <c r="AE39" s="111">
        <v>0.89</v>
      </c>
      <c r="AF39" s="126">
        <f>'Future Total Energy'!AO35</f>
        <v>139182.30580262595</v>
      </c>
    </row>
    <row r="40" spans="2:32">
      <c r="B40" s="23">
        <v>2039</v>
      </c>
      <c r="C40" s="113">
        <f>'Future Total Energy'!AL36</f>
        <v>37615.189375007612</v>
      </c>
      <c r="D40" s="113">
        <f>'Future Total Energy'!AM36</f>
        <v>29530.373869492367</v>
      </c>
      <c r="E40" s="492">
        <f>'Future Total Energy'!AO36</f>
        <v>140126.17407878014</v>
      </c>
      <c r="G40" s="124">
        <v>2039</v>
      </c>
      <c r="H40" s="56">
        <f t="shared" si="20"/>
        <v>7598.2682537515029</v>
      </c>
      <c r="I40" s="111">
        <f t="shared" si="10"/>
        <v>0.20199999999999907</v>
      </c>
      <c r="J40" s="56">
        <f t="shared" si="11"/>
        <v>0</v>
      </c>
      <c r="K40" s="111">
        <f t="shared" si="7"/>
        <v>0</v>
      </c>
      <c r="L40" s="56">
        <f t="shared" si="12"/>
        <v>30016.921121256109</v>
      </c>
      <c r="M40" s="111">
        <f t="shared" si="13"/>
        <v>0.79800000000000093</v>
      </c>
      <c r="N40" s="125">
        <f t="shared" si="8"/>
        <v>37615.189375007612</v>
      </c>
      <c r="O40" s="482"/>
      <c r="P40" s="124">
        <v>2039</v>
      </c>
      <c r="Q40" s="56">
        <f t="shared" si="14"/>
        <v>5965.1355216374304</v>
      </c>
      <c r="R40" s="111">
        <f t="shared" si="15"/>
        <v>0.20199999999999907</v>
      </c>
      <c r="S40" s="56">
        <f t="shared" si="16"/>
        <v>0</v>
      </c>
      <c r="T40" s="111">
        <f t="shared" si="9"/>
        <v>0</v>
      </c>
      <c r="U40" s="56">
        <f t="shared" si="17"/>
        <v>23565.238347854935</v>
      </c>
      <c r="V40" s="111">
        <f t="shared" si="18"/>
        <v>0.79800000000000093</v>
      </c>
      <c r="W40" s="125">
        <f t="shared" si="19"/>
        <v>29530.373869492367</v>
      </c>
      <c r="Y40" s="134">
        <v>2039</v>
      </c>
      <c r="Z40" s="56">
        <v>15254</v>
      </c>
      <c r="AA40" s="111">
        <f t="shared" si="21"/>
        <v>9.9999999999999978E-2</v>
      </c>
      <c r="AB40" s="56">
        <f t="shared" si="22"/>
        <v>1401.2617407878015</v>
      </c>
      <c r="AC40" s="17">
        <v>0.01</v>
      </c>
      <c r="AD40" s="56">
        <f t="shared" si="23"/>
        <v>124712.29493011432</v>
      </c>
      <c r="AE40" s="111">
        <v>0.89</v>
      </c>
      <c r="AF40" s="126">
        <f>'Future Total Energy'!AO36</f>
        <v>140126.17407878014</v>
      </c>
    </row>
    <row r="41" spans="2:32">
      <c r="B41" s="23">
        <v>2040</v>
      </c>
      <c r="C41" s="113">
        <f>'Future Total Energy'!AL37</f>
        <v>37862.81124155139</v>
      </c>
      <c r="D41" s="113">
        <f>'Future Total Energy'!AM37</f>
        <v>30227.085380840661</v>
      </c>
      <c r="E41" s="492">
        <f>'Future Total Energy'!AO37</f>
        <v>141070.04235493432</v>
      </c>
      <c r="G41" s="124">
        <v>2040</v>
      </c>
      <c r="H41" s="56">
        <f t="shared" si="20"/>
        <v>7489.9524783286724</v>
      </c>
      <c r="I41" s="111">
        <f t="shared" si="10"/>
        <v>0.19781818181818078</v>
      </c>
      <c r="J41" s="56">
        <f t="shared" si="11"/>
        <v>0</v>
      </c>
      <c r="K41" s="111">
        <f t="shared" si="7"/>
        <v>0</v>
      </c>
      <c r="L41" s="56">
        <f t="shared" si="12"/>
        <v>30372.858763222717</v>
      </c>
      <c r="M41" s="111">
        <f t="shared" si="13"/>
        <v>0.80218181818181922</v>
      </c>
      <c r="N41" s="125">
        <f t="shared" si="8"/>
        <v>37862.81124155139</v>
      </c>
      <c r="O41" s="482"/>
      <c r="P41" s="124">
        <v>2040</v>
      </c>
      <c r="Q41" s="56">
        <f t="shared" si="14"/>
        <v>5979.4670717008121</v>
      </c>
      <c r="R41" s="111">
        <f t="shared" si="15"/>
        <v>0.19781818181818078</v>
      </c>
      <c r="S41" s="56">
        <f t="shared" si="16"/>
        <v>0</v>
      </c>
      <c r="T41" s="111">
        <f t="shared" si="9"/>
        <v>0</v>
      </c>
      <c r="U41" s="56">
        <f t="shared" si="17"/>
        <v>24247.618309139849</v>
      </c>
      <c r="V41" s="111">
        <f t="shared" si="18"/>
        <v>0.80218181818181922</v>
      </c>
      <c r="W41" s="125">
        <f t="shared" si="19"/>
        <v>30227.085380840661</v>
      </c>
      <c r="Y41" s="134">
        <v>2040</v>
      </c>
      <c r="Z41" s="56">
        <v>15254</v>
      </c>
      <c r="AA41" s="111">
        <f t="shared" si="21"/>
        <v>9.9999999999999978E-2</v>
      </c>
      <c r="AB41" s="56">
        <f t="shared" si="22"/>
        <v>1410.7004235493432</v>
      </c>
      <c r="AC41" s="17">
        <v>0.01</v>
      </c>
      <c r="AD41" s="56">
        <f t="shared" si="23"/>
        <v>125552.33769589155</v>
      </c>
      <c r="AE41" s="111">
        <v>0.89</v>
      </c>
      <c r="AF41" s="126">
        <f>'Future Total Energy'!AO37</f>
        <v>141070.04235493432</v>
      </c>
    </row>
    <row r="42" spans="2:32">
      <c r="B42" s="23">
        <v>2041</v>
      </c>
      <c r="C42" s="113">
        <f>'Future Total Energy'!AL38</f>
        <v>38090.883558601585</v>
      </c>
      <c r="D42" s="113">
        <f>'Future Total Energy'!AM38</f>
        <v>30919.753468724317</v>
      </c>
      <c r="E42" s="492">
        <f>'Future Total Energy'!AO38</f>
        <v>142013.91063108851</v>
      </c>
      <c r="G42" s="124">
        <v>2041</v>
      </c>
      <c r="H42" s="56">
        <f t="shared" si="20"/>
        <v>7375.7801799837853</v>
      </c>
      <c r="I42" s="111">
        <f t="shared" si="10"/>
        <v>0.19363636363636427</v>
      </c>
      <c r="J42" s="56">
        <f t="shared" si="11"/>
        <v>0</v>
      </c>
      <c r="K42" s="111">
        <f t="shared" si="7"/>
        <v>0</v>
      </c>
      <c r="L42" s="56">
        <f t="shared" si="12"/>
        <v>30715.103378617798</v>
      </c>
      <c r="M42" s="111">
        <f t="shared" si="13"/>
        <v>0.80636363636363573</v>
      </c>
      <c r="N42" s="125">
        <f t="shared" si="8"/>
        <v>38090.883558601585</v>
      </c>
      <c r="O42" s="482"/>
      <c r="P42" s="124">
        <v>2041</v>
      </c>
      <c r="Q42" s="56">
        <f t="shared" si="14"/>
        <v>5987.1886262166372</v>
      </c>
      <c r="R42" s="111">
        <f t="shared" si="15"/>
        <v>0.19363636363636427</v>
      </c>
      <c r="S42" s="56">
        <f t="shared" si="16"/>
        <v>0</v>
      </c>
      <c r="T42" s="111">
        <f t="shared" si="9"/>
        <v>0</v>
      </c>
      <c r="U42" s="56">
        <f t="shared" si="17"/>
        <v>24932.56484250768</v>
      </c>
      <c r="V42" s="111">
        <f t="shared" si="18"/>
        <v>0.80636363636363573</v>
      </c>
      <c r="W42" s="125">
        <f t="shared" si="19"/>
        <v>30919.753468724317</v>
      </c>
      <c r="Y42" s="134">
        <v>2041</v>
      </c>
      <c r="Z42" s="56">
        <v>15254</v>
      </c>
      <c r="AA42" s="111">
        <f t="shared" si="21"/>
        <v>9.9999999999999978E-2</v>
      </c>
      <c r="AB42" s="56">
        <f t="shared" si="22"/>
        <v>1420.1391063108852</v>
      </c>
      <c r="AC42" s="17">
        <v>0.01</v>
      </c>
      <c r="AD42" s="56">
        <f t="shared" si="23"/>
        <v>126392.38046166877</v>
      </c>
      <c r="AE42" s="111">
        <v>0.89</v>
      </c>
      <c r="AF42" s="126">
        <f>'Future Total Energy'!AO38</f>
        <v>142013.91063108851</v>
      </c>
    </row>
    <row r="43" spans="2:32">
      <c r="B43" s="23">
        <v>2042</v>
      </c>
      <c r="C43" s="113">
        <f>'Future Total Energy'!AL39</f>
        <v>38301.497399971893</v>
      </c>
      <c r="D43" s="113">
        <f>'Future Total Energy'!AM39</f>
        <v>31609.494830111089</v>
      </c>
      <c r="E43" s="492">
        <f>'Future Total Energy'!AO39</f>
        <v>142957.7789072427</v>
      </c>
      <c r="G43" s="124">
        <v>2042</v>
      </c>
      <c r="H43" s="56">
        <f t="shared" si="20"/>
        <v>7256.3927801401496</v>
      </c>
      <c r="I43" s="111">
        <f t="shared" si="10"/>
        <v>0.18945454545454599</v>
      </c>
      <c r="J43" s="56">
        <f t="shared" si="11"/>
        <v>0</v>
      </c>
      <c r="K43" s="111">
        <f t="shared" si="7"/>
        <v>0</v>
      </c>
      <c r="L43" s="56">
        <f t="shared" si="12"/>
        <v>31045.104619831742</v>
      </c>
      <c r="M43" s="111">
        <f t="shared" si="13"/>
        <v>0.81054545454545401</v>
      </c>
      <c r="N43" s="125">
        <f t="shared" si="8"/>
        <v>38301.497399971893</v>
      </c>
      <c r="O43" s="482"/>
      <c r="P43" s="124">
        <v>2042</v>
      </c>
      <c r="Q43" s="56">
        <f t="shared" si="14"/>
        <v>5988.5624750865172</v>
      </c>
      <c r="R43" s="111">
        <f t="shared" si="15"/>
        <v>0.18945454545454599</v>
      </c>
      <c r="S43" s="56">
        <f t="shared" si="16"/>
        <v>0</v>
      </c>
      <c r="T43" s="111">
        <f t="shared" si="9"/>
        <v>0</v>
      </c>
      <c r="U43" s="56">
        <f t="shared" si="17"/>
        <v>25620.932355024572</v>
      </c>
      <c r="V43" s="111">
        <f t="shared" si="18"/>
        <v>0.81054545454545401</v>
      </c>
      <c r="W43" s="125">
        <f t="shared" si="19"/>
        <v>31609.494830111089</v>
      </c>
      <c r="Y43" s="134">
        <v>2042</v>
      </c>
      <c r="Z43" s="56">
        <v>15254</v>
      </c>
      <c r="AA43" s="111">
        <f t="shared" si="21"/>
        <v>9.9999999999999978E-2</v>
      </c>
      <c r="AB43" s="56">
        <f t="shared" si="22"/>
        <v>1429.5777890724271</v>
      </c>
      <c r="AC43" s="17">
        <v>0.01</v>
      </c>
      <c r="AD43" s="56">
        <f t="shared" si="23"/>
        <v>127232.42322744601</v>
      </c>
      <c r="AE43" s="111">
        <v>0.89</v>
      </c>
      <c r="AF43" s="126">
        <f>'Future Total Energy'!AO39</f>
        <v>142957.7789072427</v>
      </c>
    </row>
    <row r="44" spans="2:32">
      <c r="B44" s="23">
        <v>2043</v>
      </c>
      <c r="C44" s="113">
        <f>'Future Total Energy'!AL40</f>
        <v>38499.60275166051</v>
      </c>
      <c r="D44" s="113">
        <f>'Future Total Energy'!AM40</f>
        <v>32299.926384145536</v>
      </c>
      <c r="E44" s="492">
        <f>'Future Total Energy'!AO40</f>
        <v>143901.64718339688</v>
      </c>
      <c r="G44" s="124">
        <v>2043</v>
      </c>
      <c r="H44" s="56">
        <f t="shared" si="20"/>
        <v>7132.9264007167549</v>
      </c>
      <c r="I44" s="111">
        <f t="shared" si="10"/>
        <v>0.1852727272727277</v>
      </c>
      <c r="J44" s="56">
        <f t="shared" si="11"/>
        <v>0</v>
      </c>
      <c r="K44" s="111">
        <f t="shared" si="7"/>
        <v>0</v>
      </c>
      <c r="L44" s="56">
        <f t="shared" si="12"/>
        <v>31366.676350943755</v>
      </c>
      <c r="M44" s="111">
        <f t="shared" si="13"/>
        <v>0.8147272727272723</v>
      </c>
      <c r="N44" s="125">
        <f t="shared" si="8"/>
        <v>38499.60275166051</v>
      </c>
      <c r="O44" s="482"/>
      <c r="P44" s="124">
        <v>2043</v>
      </c>
      <c r="Q44" s="56">
        <f t="shared" si="14"/>
        <v>5984.2954518989773</v>
      </c>
      <c r="R44" s="111">
        <f t="shared" si="15"/>
        <v>0.1852727272727277</v>
      </c>
      <c r="S44" s="56">
        <f t="shared" si="16"/>
        <v>0</v>
      </c>
      <c r="T44" s="111">
        <f t="shared" si="9"/>
        <v>0</v>
      </c>
      <c r="U44" s="56">
        <f t="shared" si="17"/>
        <v>26315.630932246557</v>
      </c>
      <c r="V44" s="111">
        <f t="shared" si="18"/>
        <v>0.8147272727272723</v>
      </c>
      <c r="W44" s="125">
        <f t="shared" si="19"/>
        <v>32299.926384145536</v>
      </c>
      <c r="Y44" s="134">
        <v>2043</v>
      </c>
      <c r="Z44" s="56">
        <v>15254</v>
      </c>
      <c r="AA44" s="111">
        <f t="shared" si="21"/>
        <v>9.9999999999999978E-2</v>
      </c>
      <c r="AB44" s="56">
        <f t="shared" si="22"/>
        <v>1439.0164718339688</v>
      </c>
      <c r="AC44" s="17">
        <v>0.01</v>
      </c>
      <c r="AD44" s="56">
        <f t="shared" si="23"/>
        <v>128072.46599322323</v>
      </c>
      <c r="AE44" s="111">
        <v>0.89</v>
      </c>
      <c r="AF44" s="126">
        <f>'Future Total Energy'!AO40</f>
        <v>143901.64718339688</v>
      </c>
    </row>
    <row r="45" spans="2:32">
      <c r="B45" s="23">
        <v>2044</v>
      </c>
      <c r="C45" s="113">
        <f>'Future Total Energy'!AL41</f>
        <v>38681.250592871926</v>
      </c>
      <c r="D45" s="113">
        <f>'Future Total Energy'!AM41</f>
        <v>32987.338526527703</v>
      </c>
      <c r="E45" s="492">
        <f>'Future Total Energy'!AO41</f>
        <v>144845.51545955104</v>
      </c>
      <c r="G45" s="124">
        <v>2044</v>
      </c>
      <c r="H45" s="56">
        <f t="shared" si="20"/>
        <v>7004.8228346364558</v>
      </c>
      <c r="I45" s="111">
        <f t="shared" si="10"/>
        <v>0.18109090909090941</v>
      </c>
      <c r="J45" s="56">
        <f t="shared" si="11"/>
        <v>0</v>
      </c>
      <c r="K45" s="111">
        <f t="shared" si="7"/>
        <v>0</v>
      </c>
      <c r="L45" s="56">
        <f t="shared" si="12"/>
        <v>31676.42775823547</v>
      </c>
      <c r="M45" s="111">
        <f t="shared" si="13"/>
        <v>0.81890909090909059</v>
      </c>
      <c r="N45" s="125">
        <f t="shared" si="8"/>
        <v>38681.250592871926</v>
      </c>
      <c r="O45" s="482"/>
      <c r="P45" s="124">
        <v>2044</v>
      </c>
      <c r="Q45" s="56">
        <f t="shared" si="14"/>
        <v>5973.7071222584818</v>
      </c>
      <c r="R45" s="111">
        <f t="shared" si="15"/>
        <v>0.18109090909090941</v>
      </c>
      <c r="S45" s="56">
        <f t="shared" si="16"/>
        <v>0</v>
      </c>
      <c r="T45" s="111">
        <f t="shared" si="9"/>
        <v>0</v>
      </c>
      <c r="U45" s="56">
        <f t="shared" si="17"/>
        <v>27013.631404269221</v>
      </c>
      <c r="V45" s="111">
        <f t="shared" si="18"/>
        <v>0.81890909090909059</v>
      </c>
      <c r="W45" s="125">
        <f t="shared" si="19"/>
        <v>32987.338526527703</v>
      </c>
      <c r="Y45" s="134">
        <v>2044</v>
      </c>
      <c r="Z45" s="56">
        <v>15254</v>
      </c>
      <c r="AA45" s="111">
        <f t="shared" si="21"/>
        <v>9.9999999999999978E-2</v>
      </c>
      <c r="AB45" s="56">
        <f t="shared" si="22"/>
        <v>1448.4551545955105</v>
      </c>
      <c r="AC45" s="17">
        <v>0.01</v>
      </c>
      <c r="AD45" s="56">
        <f t="shared" si="23"/>
        <v>128912.50875900043</v>
      </c>
      <c r="AE45" s="111">
        <v>0.89</v>
      </c>
      <c r="AF45" s="126">
        <f>'Future Total Energy'!AO41</f>
        <v>144845.51545955104</v>
      </c>
    </row>
    <row r="46" spans="2:32">
      <c r="B46" s="23">
        <v>2045</v>
      </c>
      <c r="C46" s="113">
        <f>'Future Total Energy'!AL42</f>
        <v>38847.176323486885</v>
      </c>
      <c r="D46" s="113">
        <f>'Future Total Energy'!AM42</f>
        <v>33671.853943558606</v>
      </c>
      <c r="E46" s="492">
        <f>'Future Total Energy'!AO42</f>
        <v>145789.38373570525</v>
      </c>
      <c r="G46" s="124">
        <v>2045</v>
      </c>
      <c r="H46" s="56">
        <f t="shared" si="20"/>
        <v>6872.4186477732337</v>
      </c>
      <c r="I46" s="111">
        <f t="shared" si="10"/>
        <v>0.17690909090909113</v>
      </c>
      <c r="J46" s="56">
        <f t="shared" si="11"/>
        <v>0</v>
      </c>
      <c r="K46" s="111">
        <f t="shared" si="7"/>
        <v>0</v>
      </c>
      <c r="L46" s="56">
        <f t="shared" si="12"/>
        <v>31974.757675713652</v>
      </c>
      <c r="M46" s="111">
        <f t="shared" si="13"/>
        <v>0.82309090909090887</v>
      </c>
      <c r="N46" s="125">
        <f t="shared" si="8"/>
        <v>38847.176323486885</v>
      </c>
      <c r="O46" s="482"/>
      <c r="P46" s="124">
        <v>2045</v>
      </c>
      <c r="Q46" s="56">
        <f t="shared" si="14"/>
        <v>5956.8570703786481</v>
      </c>
      <c r="R46" s="111">
        <f t="shared" si="15"/>
        <v>0.17690909090909113</v>
      </c>
      <c r="S46" s="56">
        <f t="shared" si="16"/>
        <v>0</v>
      </c>
      <c r="T46" s="111">
        <f t="shared" si="9"/>
        <v>0</v>
      </c>
      <c r="U46" s="56">
        <f t="shared" si="17"/>
        <v>27714.99687317996</v>
      </c>
      <c r="V46" s="111">
        <f t="shared" si="18"/>
        <v>0.82309090909090887</v>
      </c>
      <c r="W46" s="125">
        <f t="shared" si="19"/>
        <v>33671.853943558606</v>
      </c>
      <c r="Y46" s="134">
        <v>2045</v>
      </c>
      <c r="Z46" s="56">
        <v>15254</v>
      </c>
      <c r="AA46" s="111">
        <f t="shared" si="21"/>
        <v>9.9999999999999978E-2</v>
      </c>
      <c r="AB46" s="56">
        <f t="shared" si="22"/>
        <v>1457.8938373570525</v>
      </c>
      <c r="AC46" s="17">
        <v>0.01</v>
      </c>
      <c r="AD46" s="56">
        <f t="shared" si="23"/>
        <v>129752.55152477768</v>
      </c>
      <c r="AE46" s="111">
        <v>0.89</v>
      </c>
      <c r="AF46" s="126">
        <f>'Future Total Energy'!AO42</f>
        <v>145789.38373570525</v>
      </c>
    </row>
    <row r="47" spans="2:32">
      <c r="B47" s="23">
        <v>2046</v>
      </c>
      <c r="C47" s="113">
        <f>'Future Total Energy'!AL43</f>
        <v>38993.368091703866</v>
      </c>
      <c r="D47" s="113">
        <f>'Future Total Energy'!AM43</f>
        <v>34349.444015518704</v>
      </c>
      <c r="E47" s="492">
        <f>'Future Total Energy'!AO43</f>
        <v>146733.25201185944</v>
      </c>
      <c r="G47" s="124">
        <v>2046</v>
      </c>
      <c r="H47" s="56">
        <f t="shared" si="20"/>
        <v>6735.2181249306723</v>
      </c>
      <c r="I47" s="111">
        <f t="shared" si="10"/>
        <v>0.17272727272727284</v>
      </c>
      <c r="J47" s="56">
        <f t="shared" si="11"/>
        <v>0</v>
      </c>
      <c r="K47" s="111">
        <f t="shared" si="7"/>
        <v>0</v>
      </c>
      <c r="L47" s="56">
        <f t="shared" si="12"/>
        <v>32258.149966773195</v>
      </c>
      <c r="M47" s="111">
        <f t="shared" si="13"/>
        <v>0.82727272727272716</v>
      </c>
      <c r="N47" s="125">
        <f t="shared" si="8"/>
        <v>38993.368091703866</v>
      </c>
      <c r="O47" s="482"/>
      <c r="P47" s="124">
        <v>2046</v>
      </c>
      <c r="Q47" s="56">
        <f t="shared" si="14"/>
        <v>5933.0857844986895</v>
      </c>
      <c r="R47" s="111">
        <f t="shared" si="15"/>
        <v>0.17272727272727284</v>
      </c>
      <c r="S47" s="56">
        <f t="shared" si="16"/>
        <v>0</v>
      </c>
      <c r="T47" s="111">
        <f t="shared" si="9"/>
        <v>0</v>
      </c>
      <c r="U47" s="56">
        <f t="shared" si="17"/>
        <v>28416.358231020015</v>
      </c>
      <c r="V47" s="111">
        <f t="shared" si="18"/>
        <v>0.82727272727272716</v>
      </c>
      <c r="W47" s="125">
        <f t="shared" si="19"/>
        <v>34349.444015518704</v>
      </c>
      <c r="Y47" s="134">
        <v>2046</v>
      </c>
      <c r="Z47" s="56">
        <v>15254</v>
      </c>
      <c r="AA47" s="111">
        <f t="shared" si="21"/>
        <v>9.9999999999999978E-2</v>
      </c>
      <c r="AB47" s="56">
        <f t="shared" si="22"/>
        <v>1467.3325201185944</v>
      </c>
      <c r="AC47" s="17">
        <v>0.01</v>
      </c>
      <c r="AD47" s="56">
        <f t="shared" si="23"/>
        <v>130592.5942905549</v>
      </c>
      <c r="AE47" s="111">
        <v>0.89</v>
      </c>
      <c r="AF47" s="126">
        <f>'Future Total Energy'!AO43</f>
        <v>146733.25201185944</v>
      </c>
    </row>
    <row r="48" spans="2:32">
      <c r="B48" s="23">
        <v>2047</v>
      </c>
      <c r="C48" s="113">
        <f>'Future Total Energy'!AL44</f>
        <v>39878.441224497576</v>
      </c>
      <c r="D48" s="113">
        <f>'Future Total Energy'!AM44</f>
        <v>35698.531813537025</v>
      </c>
      <c r="E48" s="492">
        <f>'Future Total Energy'!AO44</f>
        <v>147677.1202880136</v>
      </c>
      <c r="G48" s="124">
        <v>2047</v>
      </c>
      <c r="H48" s="56">
        <f t="shared" si="20"/>
        <v>6721.3300027471369</v>
      </c>
      <c r="I48" s="111">
        <f t="shared" si="10"/>
        <v>0.16854545454545455</v>
      </c>
      <c r="J48" s="56">
        <f t="shared" si="11"/>
        <v>0</v>
      </c>
      <c r="K48" s="111">
        <f t="shared" si="7"/>
        <v>0</v>
      </c>
      <c r="L48" s="56">
        <f t="shared" si="12"/>
        <v>33157.111221750441</v>
      </c>
      <c r="M48" s="111">
        <f t="shared" si="13"/>
        <v>0.83145454545454545</v>
      </c>
      <c r="N48" s="125">
        <f t="shared" si="8"/>
        <v>39878.441224497576</v>
      </c>
      <c r="O48" s="482"/>
      <c r="P48" s="124">
        <v>2047</v>
      </c>
      <c r="Q48" s="56">
        <f t="shared" si="14"/>
        <v>6016.8252711179684</v>
      </c>
      <c r="R48" s="111">
        <f t="shared" si="15"/>
        <v>0.16854545454545455</v>
      </c>
      <c r="S48" s="56">
        <f t="shared" si="16"/>
        <v>0</v>
      </c>
      <c r="T48" s="111">
        <f t="shared" si="9"/>
        <v>0</v>
      </c>
      <c r="U48" s="56">
        <f t="shared" si="17"/>
        <v>29681.706542419059</v>
      </c>
      <c r="V48" s="111">
        <f t="shared" si="18"/>
        <v>0.83145454545454545</v>
      </c>
      <c r="W48" s="125">
        <f t="shared" si="19"/>
        <v>35698.531813537025</v>
      </c>
      <c r="Y48" s="134">
        <v>2047</v>
      </c>
      <c r="Z48" s="56">
        <v>15254</v>
      </c>
      <c r="AA48" s="111">
        <f t="shared" si="21"/>
        <v>9.9999999999999978E-2</v>
      </c>
      <c r="AB48" s="56">
        <f t="shared" si="22"/>
        <v>1476.7712028801359</v>
      </c>
      <c r="AC48" s="17">
        <v>0.01</v>
      </c>
      <c r="AD48" s="56">
        <f t="shared" si="23"/>
        <v>131432.63705633211</v>
      </c>
      <c r="AE48" s="111">
        <v>0.89</v>
      </c>
      <c r="AF48" s="126">
        <f>'Future Total Energy'!AO44</f>
        <v>147677.1202880136</v>
      </c>
    </row>
    <row r="49" spans="2:32">
      <c r="B49" s="23">
        <v>2048</v>
      </c>
      <c r="C49" s="113">
        <f>'Future Total Energy'!AL45</f>
        <v>40194.725133174899</v>
      </c>
      <c r="D49" s="113">
        <f>'Future Total Energy'!AM45</f>
        <v>36561.793928597879</v>
      </c>
      <c r="E49" s="492">
        <f>'Future Total Energy'!AO45</f>
        <v>148620.98856416781</v>
      </c>
      <c r="G49" s="124">
        <v>2048</v>
      </c>
      <c r="H49" s="56">
        <f t="shared" si="20"/>
        <v>6606.5511855254708</v>
      </c>
      <c r="I49" s="111">
        <f t="shared" si="10"/>
        <v>0.16436363636363627</v>
      </c>
      <c r="J49" s="56">
        <f t="shared" si="11"/>
        <v>0</v>
      </c>
      <c r="K49" s="111">
        <f t="shared" si="7"/>
        <v>0</v>
      </c>
      <c r="L49" s="56">
        <f t="shared" si="12"/>
        <v>33588.173947649426</v>
      </c>
      <c r="M49" s="111">
        <f t="shared" si="13"/>
        <v>0.83563636363636373</v>
      </c>
      <c r="N49" s="125">
        <f t="shared" si="8"/>
        <v>40194.725133174899</v>
      </c>
      <c r="O49" s="482"/>
      <c r="P49" s="124">
        <v>2048</v>
      </c>
      <c r="Q49" s="56">
        <f t="shared" si="14"/>
        <v>6009.4294020822663</v>
      </c>
      <c r="R49" s="111">
        <f t="shared" si="15"/>
        <v>0.16436363636363627</v>
      </c>
      <c r="S49" s="56">
        <f t="shared" si="16"/>
        <v>0</v>
      </c>
      <c r="T49" s="111">
        <f t="shared" si="9"/>
        <v>0</v>
      </c>
      <c r="U49" s="56">
        <f t="shared" si="17"/>
        <v>30552.364526515612</v>
      </c>
      <c r="V49" s="111">
        <f t="shared" si="18"/>
        <v>0.83563636363636373</v>
      </c>
      <c r="W49" s="125">
        <f t="shared" si="19"/>
        <v>36561.793928597879</v>
      </c>
      <c r="Y49" s="134">
        <v>2048</v>
      </c>
      <c r="Z49" s="56">
        <v>15254</v>
      </c>
      <c r="AA49" s="111">
        <f t="shared" si="21"/>
        <v>9.9999999999999978E-2</v>
      </c>
      <c r="AB49" s="56">
        <f t="shared" si="22"/>
        <v>1486.2098856416781</v>
      </c>
      <c r="AC49" s="17">
        <v>0.01</v>
      </c>
      <c r="AD49" s="56">
        <f t="shared" si="23"/>
        <v>132272.67982210935</v>
      </c>
      <c r="AE49" s="111">
        <v>0.89</v>
      </c>
      <c r="AF49" s="126">
        <f>'Future Total Energy'!AO45</f>
        <v>148620.98856416781</v>
      </c>
    </row>
    <row r="50" spans="2:32">
      <c r="B50" s="23">
        <v>2049</v>
      </c>
      <c r="C50" s="113">
        <f>'Future Total Energy'!AL46</f>
        <v>40512.324104597021</v>
      </c>
      <c r="D50" s="113">
        <f>'Future Total Energy'!AM46</f>
        <v>37441.742549198352</v>
      </c>
      <c r="E50" s="492">
        <f>'Future Total Energy'!AO46</f>
        <v>149564.856840322</v>
      </c>
      <c r="G50" s="124">
        <v>2049</v>
      </c>
      <c r="H50" s="56">
        <f t="shared" si="20"/>
        <v>6489.337733845442</v>
      </c>
      <c r="I50" s="111">
        <f t="shared" si="10"/>
        <v>0.16018181818181798</v>
      </c>
      <c r="J50" s="56">
        <f t="shared" si="11"/>
        <v>0</v>
      </c>
      <c r="K50" s="111">
        <f t="shared" si="7"/>
        <v>0</v>
      </c>
      <c r="L50" s="56">
        <f t="shared" si="12"/>
        <v>34022.986370751576</v>
      </c>
      <c r="M50" s="111">
        <f t="shared" si="13"/>
        <v>0.83981818181818202</v>
      </c>
      <c r="N50" s="125">
        <f t="shared" si="8"/>
        <v>40512.324104597021</v>
      </c>
      <c r="O50" s="482"/>
      <c r="P50" s="124">
        <v>2049</v>
      </c>
      <c r="Q50" s="56">
        <f t="shared" si="14"/>
        <v>5997.4863974261289</v>
      </c>
      <c r="R50" s="111">
        <f t="shared" si="15"/>
        <v>0.16018181818181798</v>
      </c>
      <c r="S50" s="56">
        <f t="shared" si="16"/>
        <v>0</v>
      </c>
      <c r="T50" s="111">
        <f t="shared" si="9"/>
        <v>0</v>
      </c>
      <c r="U50" s="56">
        <f t="shared" si="17"/>
        <v>31444.256151772224</v>
      </c>
      <c r="V50" s="111">
        <f t="shared" si="18"/>
        <v>0.83981818181818202</v>
      </c>
      <c r="W50" s="125">
        <f t="shared" si="19"/>
        <v>37441.742549198352</v>
      </c>
      <c r="Y50" s="134">
        <v>2049</v>
      </c>
      <c r="Z50" s="56">
        <v>15254</v>
      </c>
      <c r="AA50" s="111">
        <f t="shared" si="21"/>
        <v>9.9999999999999978E-2</v>
      </c>
      <c r="AB50" s="56">
        <f t="shared" si="22"/>
        <v>1495.64856840322</v>
      </c>
      <c r="AC50" s="17">
        <v>0.01</v>
      </c>
      <c r="AD50" s="56">
        <f t="shared" si="23"/>
        <v>133112.72258788659</v>
      </c>
      <c r="AE50" s="111">
        <v>0.89</v>
      </c>
      <c r="AF50" s="126">
        <f>'Future Total Energy'!AO46</f>
        <v>149564.856840322</v>
      </c>
    </row>
    <row r="51" spans="2:32">
      <c r="B51" s="26">
        <v>2050</v>
      </c>
      <c r="C51" s="115">
        <f>'Future Total Energy'!AL47</f>
        <v>40831.205112674317</v>
      </c>
      <c r="D51" s="115">
        <f>'Future Total Energy'!AM47</f>
        <v>38338.657910289527</v>
      </c>
      <c r="E51" s="480">
        <f>'Future Total Energy'!AO47</f>
        <v>150508.72511647618</v>
      </c>
      <c r="G51" s="127">
        <v>2050</v>
      </c>
      <c r="H51" s="128">
        <f t="shared" si="20"/>
        <v>6369.6679975771813</v>
      </c>
      <c r="I51" s="112">
        <f t="shared" si="10"/>
        <v>0.15599999999999969</v>
      </c>
      <c r="J51" s="128">
        <f t="shared" si="11"/>
        <v>0</v>
      </c>
      <c r="K51" s="112">
        <f t="shared" si="7"/>
        <v>0</v>
      </c>
      <c r="L51" s="128">
        <f t="shared" si="12"/>
        <v>34461.537115097133</v>
      </c>
      <c r="M51" s="112">
        <f t="shared" si="13"/>
        <v>0.84400000000000031</v>
      </c>
      <c r="N51" s="491">
        <f t="shared" si="8"/>
        <v>40831.205112674317</v>
      </c>
      <c r="O51" s="482"/>
      <c r="P51" s="127">
        <v>2050</v>
      </c>
      <c r="Q51" s="128">
        <f t="shared" si="14"/>
        <v>5980.830634005154</v>
      </c>
      <c r="R51" s="112">
        <f t="shared" si="15"/>
        <v>0.15599999999999969</v>
      </c>
      <c r="S51" s="128">
        <f t="shared" si="16"/>
        <v>0</v>
      </c>
      <c r="T51" s="112">
        <f t="shared" si="9"/>
        <v>0</v>
      </c>
      <c r="U51" s="128">
        <f t="shared" si="17"/>
        <v>32357.827276284374</v>
      </c>
      <c r="V51" s="112">
        <f t="shared" si="18"/>
        <v>0.84400000000000031</v>
      </c>
      <c r="W51" s="491">
        <f t="shared" si="19"/>
        <v>38338.657910289527</v>
      </c>
      <c r="Y51" s="135">
        <v>2050</v>
      </c>
      <c r="Z51" s="56">
        <v>15254</v>
      </c>
      <c r="AA51" s="111">
        <f t="shared" si="21"/>
        <v>9.9999999999999978E-2</v>
      </c>
      <c r="AB51" s="128">
        <f t="shared" si="22"/>
        <v>1505.0872511647619</v>
      </c>
      <c r="AC51" s="17">
        <v>0.01</v>
      </c>
      <c r="AD51" s="128">
        <f t="shared" si="23"/>
        <v>133952.7653536638</v>
      </c>
      <c r="AE51" s="111">
        <v>0.89</v>
      </c>
      <c r="AF51" s="129">
        <f>'Future Total Energy'!AO47</f>
        <v>150508.72511647618</v>
      </c>
    </row>
    <row r="53" spans="2:32">
      <c r="AB53" t="s">
        <v>899</v>
      </c>
    </row>
    <row r="54" spans="2:32">
      <c r="AB54" t="s">
        <v>900</v>
      </c>
    </row>
    <row r="55" spans="2:32">
      <c r="AB55" t="s">
        <v>901</v>
      </c>
    </row>
    <row r="56" spans="2:32">
      <c r="AB56" t="s">
        <v>902</v>
      </c>
    </row>
  </sheetData>
  <mergeCells count="11">
    <mergeCell ref="E5:E6"/>
    <mergeCell ref="C5:D5"/>
    <mergeCell ref="AD6:AE6"/>
    <mergeCell ref="H6:I6"/>
    <mergeCell ref="J6:K6"/>
    <mergeCell ref="L6:M6"/>
    <mergeCell ref="Z6:AA6"/>
    <mergeCell ref="AB6:AC6"/>
    <mergeCell ref="Q6:R6"/>
    <mergeCell ref="S6:T6"/>
    <mergeCell ref="U6:V6"/>
  </mergeCells>
  <phoneticPr fontId="3"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79998168889431442"/>
  </sheetPr>
  <dimension ref="A1:AQ167"/>
  <sheetViews>
    <sheetView topLeftCell="U117" zoomScale="107" zoomScaleNormal="100" workbookViewId="0">
      <selection activeCell="AO137" sqref="AO137"/>
    </sheetView>
  </sheetViews>
  <sheetFormatPr defaultColWidth="8.81640625" defaultRowHeight="14.5"/>
  <cols>
    <col min="3" max="3" width="13.81640625" customWidth="1"/>
    <col min="4" max="5" width="8.7265625"/>
    <col min="6" max="6" width="12.81640625" customWidth="1"/>
    <col min="7" max="7" width="11.1796875" customWidth="1"/>
    <col min="8" max="11" width="8.7265625"/>
    <col min="13" max="13" width="14.26953125" customWidth="1"/>
    <col min="14" max="14" width="21.7265625" customWidth="1"/>
    <col min="16" max="16" width="15.7265625" customWidth="1"/>
    <col min="17" max="17" width="15.453125" customWidth="1"/>
    <col min="18" max="19" width="10.26953125" customWidth="1"/>
    <col min="25" max="25" width="14.7265625" bestFit="1" customWidth="1"/>
    <col min="26" max="26" width="17.81640625" customWidth="1"/>
    <col min="27" max="27" width="10.453125" bestFit="1" customWidth="1"/>
    <col min="28" max="28" width="14.1796875" customWidth="1"/>
    <col min="29" max="29" width="15.453125" bestFit="1" customWidth="1"/>
    <col min="30" max="30" width="9.453125" bestFit="1" customWidth="1"/>
    <col min="31" max="31" width="10.7265625" bestFit="1" customWidth="1"/>
    <col min="32" max="32" width="10.453125" bestFit="1" customWidth="1"/>
    <col min="33" max="34" width="10.453125" customWidth="1"/>
    <col min="35" max="35" width="14.453125" customWidth="1"/>
    <col min="41" max="41" width="8.81640625" customWidth="1"/>
    <col min="42" max="42" width="9.26953125" customWidth="1"/>
    <col min="44" max="44" width="8.7265625" customWidth="1"/>
  </cols>
  <sheetData>
    <row r="1" spans="1:34" ht="22.5" customHeight="1">
      <c r="A1" s="106" t="s">
        <v>903</v>
      </c>
    </row>
    <row r="2" spans="1:34">
      <c r="A2" s="54" t="s">
        <v>904</v>
      </c>
      <c r="B2" s="166" t="s">
        <v>905</v>
      </c>
      <c r="C2" s="104"/>
    </row>
    <row r="3" spans="1:34">
      <c r="A3" s="54"/>
      <c r="C3" t="s">
        <v>906</v>
      </c>
    </row>
    <row r="4" spans="1:34">
      <c r="A4" s="54"/>
      <c r="C4" t="s">
        <v>907</v>
      </c>
      <c r="Z4" s="516" t="s">
        <v>908</v>
      </c>
    </row>
    <row r="5" spans="1:34">
      <c r="B5" s="166" t="s">
        <v>909</v>
      </c>
      <c r="C5" s="104"/>
    </row>
    <row r="6" spans="1:34">
      <c r="C6" t="s">
        <v>910</v>
      </c>
      <c r="D6" s="104"/>
      <c r="E6" s="104"/>
      <c r="F6" s="104"/>
      <c r="G6" s="104"/>
      <c r="H6" s="104"/>
      <c r="I6" s="104"/>
      <c r="J6" s="104"/>
      <c r="K6" s="104"/>
    </row>
    <row r="7" spans="1:34">
      <c r="C7" t="s">
        <v>911</v>
      </c>
    </row>
    <row r="8" spans="1:34">
      <c r="B8" s="166" t="s">
        <v>912</v>
      </c>
      <c r="C8" s="104"/>
      <c r="D8" s="104"/>
      <c r="E8" s="104"/>
      <c r="F8" s="104"/>
      <c r="G8" s="104"/>
      <c r="H8" s="104"/>
      <c r="I8" s="104"/>
      <c r="J8" s="104"/>
      <c r="K8" s="104"/>
    </row>
    <row r="9" spans="1:34">
      <c r="A9" s="54"/>
      <c r="C9" t="s">
        <v>913</v>
      </c>
    </row>
    <row r="10" spans="1:34">
      <c r="A10" s="54"/>
      <c r="C10" t="s">
        <v>914</v>
      </c>
    </row>
    <row r="11" spans="1:34">
      <c r="A11" s="54"/>
      <c r="C11" t="s">
        <v>915</v>
      </c>
    </row>
    <row r="12" spans="1:34">
      <c r="A12" s="54" t="s">
        <v>916</v>
      </c>
      <c r="B12" t="s">
        <v>917</v>
      </c>
    </row>
    <row r="14" spans="1:34" s="58" customFormat="1">
      <c r="A14" s="108" t="s">
        <v>918</v>
      </c>
      <c r="M14" s="108" t="s">
        <v>918</v>
      </c>
      <c r="X14" s="108" t="s">
        <v>918</v>
      </c>
    </row>
    <row r="15" spans="1:34">
      <c r="B15" s="146" t="s">
        <v>509</v>
      </c>
      <c r="C15" s="21"/>
      <c r="D15" s="21"/>
      <c r="E15" s="21"/>
      <c r="F15" s="21"/>
      <c r="G15" s="21"/>
      <c r="H15" s="21"/>
      <c r="I15" s="21"/>
      <c r="J15" s="22"/>
      <c r="M15" s="504" t="s">
        <v>537</v>
      </c>
      <c r="N15" s="21"/>
      <c r="O15" s="21"/>
      <c r="P15" s="21"/>
      <c r="Q15" s="21"/>
      <c r="R15" s="21"/>
      <c r="S15" s="21"/>
      <c r="T15" s="21"/>
      <c r="U15" s="22"/>
      <c r="X15" s="146" t="s">
        <v>527</v>
      </c>
      <c r="Y15" s="21"/>
      <c r="Z15" s="21"/>
      <c r="AA15" s="21"/>
      <c r="AB15" s="21"/>
      <c r="AC15" s="21"/>
      <c r="AD15" s="21"/>
      <c r="AE15" s="21"/>
      <c r="AF15" s="22"/>
    </row>
    <row r="16" spans="1:34" s="493" customFormat="1" ht="33" customHeight="1">
      <c r="B16" s="494" t="s">
        <v>557</v>
      </c>
      <c r="C16" s="495" t="s">
        <v>510</v>
      </c>
      <c r="D16" s="495" t="s">
        <v>511</v>
      </c>
      <c r="E16" s="495" t="s">
        <v>512</v>
      </c>
      <c r="F16" s="495" t="s">
        <v>513</v>
      </c>
      <c r="G16" s="495" t="s">
        <v>514</v>
      </c>
      <c r="H16" s="495" t="s">
        <v>515</v>
      </c>
      <c r="I16" s="495" t="s">
        <v>516</v>
      </c>
      <c r="J16" s="496" t="s">
        <v>517</v>
      </c>
      <c r="M16" s="494" t="s">
        <v>557</v>
      </c>
      <c r="N16" s="495" t="s">
        <v>510</v>
      </c>
      <c r="O16" s="495" t="s">
        <v>511</v>
      </c>
      <c r="P16" s="495" t="s">
        <v>512</v>
      </c>
      <c r="Q16" s="495" t="s">
        <v>513</v>
      </c>
      <c r="R16" s="495" t="s">
        <v>514</v>
      </c>
      <c r="S16" s="495" t="s">
        <v>515</v>
      </c>
      <c r="T16" s="495" t="s">
        <v>516</v>
      </c>
      <c r="U16" s="496" t="s">
        <v>517</v>
      </c>
      <c r="W16"/>
      <c r="X16" s="494" t="s">
        <v>557</v>
      </c>
      <c r="Y16" s="495" t="s">
        <v>510</v>
      </c>
      <c r="Z16" s="495" t="s">
        <v>511</v>
      </c>
      <c r="AA16" s="495" t="s">
        <v>512</v>
      </c>
      <c r="AB16" s="495" t="s">
        <v>513</v>
      </c>
      <c r="AC16" s="495" t="s">
        <v>514</v>
      </c>
      <c r="AD16" s="495" t="s">
        <v>515</v>
      </c>
      <c r="AE16" s="495" t="s">
        <v>516</v>
      </c>
      <c r="AF16" s="496" t="s">
        <v>517</v>
      </c>
      <c r="AH16"/>
    </row>
    <row r="17" spans="2:32">
      <c r="B17" s="499">
        <v>2006</v>
      </c>
      <c r="C17" s="500">
        <f>'Private,Public8EndUse'!M26</f>
        <v>0.23356606005112357</v>
      </c>
      <c r="D17" s="500">
        <f>'Private,Public8EndUse'!N26</f>
        <v>0.19358284689634123</v>
      </c>
      <c r="E17" s="500">
        <f>'Private,Public8EndUse'!O26</f>
        <v>8.1950326198924117E-2</v>
      </c>
      <c r="F17" s="500">
        <f>'Private,Public8EndUse'!P26</f>
        <v>0.10796993628629202</v>
      </c>
      <c r="G17" s="500">
        <f>'Private,Public8EndUse'!Q26</f>
        <v>8.8169089313646948E-2</v>
      </c>
      <c r="H17" s="500">
        <f>'Private,Public8EndUse'!L26</f>
        <v>0.26050131624127276</v>
      </c>
      <c r="I17" s="500">
        <f>'Private,Public8EndUse'!R26</f>
        <v>3.4260425012399377E-2</v>
      </c>
      <c r="J17" s="501">
        <f>SUM(C17:I17)</f>
        <v>0.99999999999999989</v>
      </c>
      <c r="M17" s="499">
        <v>2006</v>
      </c>
      <c r="N17" s="503">
        <f>'Private,Public8EndUse'!M91</f>
        <v>0</v>
      </c>
      <c r="O17" s="503">
        <f>'Private,Public8EndUse'!N91</f>
        <v>0.36009762050030508</v>
      </c>
      <c r="P17" s="503">
        <f>'Private,Public8EndUse'!O91</f>
        <v>0</v>
      </c>
      <c r="Q17" s="503">
        <f>'Private,Public8EndUse'!P91</f>
        <v>0</v>
      </c>
      <c r="R17" s="503">
        <f>'Private,Public8EndUse'!Q91</f>
        <v>0</v>
      </c>
      <c r="S17" s="503">
        <f>'Private,Public8EndUse'!L91</f>
        <v>0.63892617449664435</v>
      </c>
      <c r="T17" s="503">
        <f>'Private,Public8EndUse'!R91</f>
        <v>9.7620500305064064E-4</v>
      </c>
      <c r="U17" s="501">
        <f>SUM(N17:T17)</f>
        <v>1</v>
      </c>
      <c r="V17" s="17"/>
      <c r="X17" s="499">
        <v>2006</v>
      </c>
      <c r="Y17" s="500">
        <f>'Private,Public8EndUse'!M66</f>
        <v>0.33980905861456484</v>
      </c>
      <c r="Z17" s="500">
        <f>'Private,Public8EndUse'!N66</f>
        <v>0.11783969804618118</v>
      </c>
      <c r="AA17" s="500">
        <f>'Private,Public8EndUse'!O66</f>
        <v>0.11922735346358793</v>
      </c>
      <c r="AB17" s="500">
        <f>'Private,Public8EndUse'!P66</f>
        <v>0.15708259325044405</v>
      </c>
      <c r="AC17" s="500">
        <f>'Private,Public8EndUse'!Q66</f>
        <v>0.12827486678507993</v>
      </c>
      <c r="AD17" s="500">
        <f>'Private,Public8EndUse'!L66</f>
        <v>8.8365896980461808E-2</v>
      </c>
      <c r="AE17" s="500">
        <f>'Private,Public8EndUse'!R66</f>
        <v>4.9400532859680282E-2</v>
      </c>
      <c r="AF17" s="501">
        <f t="shared" ref="AF17:AF22" si="0">SUM(Y17:AE17)</f>
        <v>1</v>
      </c>
    </row>
    <row r="18" spans="2:32">
      <c r="B18" s="499">
        <v>2007</v>
      </c>
      <c r="C18" s="500">
        <f>'Private,Public8EndUse'!M27</f>
        <v>0.23102532450529309</v>
      </c>
      <c r="D18" s="500">
        <f>'Private,Public8EndUse'!N27</f>
        <v>0.19092507387872668</v>
      </c>
      <c r="E18" s="500">
        <f>'Private,Public8EndUse'!O27</f>
        <v>7.8554595443833461E-2</v>
      </c>
      <c r="F18" s="500">
        <f>'Private,Public8EndUse'!P27</f>
        <v>0.11079938652601654</v>
      </c>
      <c r="G18" s="500">
        <f>'Private,Public8EndUse'!Q27</f>
        <v>9.2357760071821338E-2</v>
      </c>
      <c r="H18" s="500">
        <f>'Private,Public8EndUse'!L27</f>
        <v>0.26087607077394981</v>
      </c>
      <c r="I18" s="500">
        <f>'Private,Public8EndUse'!R27</f>
        <v>3.5461788800359106E-2</v>
      </c>
      <c r="J18" s="501">
        <f>SUM(C18:I18)</f>
        <v>1</v>
      </c>
      <c r="M18" s="499">
        <v>2007</v>
      </c>
      <c r="N18" s="503">
        <f>'Private,Public8EndUse'!M92</f>
        <v>0</v>
      </c>
      <c r="O18" s="503">
        <f>'Private,Public8EndUse'!N92</f>
        <v>0.34897758068489776</v>
      </c>
      <c r="P18" s="503">
        <f>'Private,Public8EndUse'!O92</f>
        <v>0</v>
      </c>
      <c r="Q18" s="503">
        <f>'Private,Public8EndUse'!P92</f>
        <v>0</v>
      </c>
      <c r="R18" s="503">
        <f>'Private,Public8EndUse'!Q92</f>
        <v>0</v>
      </c>
      <c r="S18" s="503">
        <f>'Private,Public8EndUse'!L92</f>
        <v>0.64991377186499133</v>
      </c>
      <c r="T18" s="503">
        <f>'Private,Public8EndUse'!R92</f>
        <v>1.1086474501108647E-3</v>
      </c>
      <c r="U18" s="501">
        <f t="shared" ref="U18:U32" si="1">SUM(N18:T18)</f>
        <v>0.99999999999999989</v>
      </c>
      <c r="X18" s="499">
        <v>2007</v>
      </c>
      <c r="Y18" s="500">
        <f>'Private,Public8EndUse'!M67</f>
        <v>0.33177544990598978</v>
      </c>
      <c r="Z18" s="500">
        <f>'Private,Public8EndUse'!N67</f>
        <v>0.12199838839645447</v>
      </c>
      <c r="AA18" s="500">
        <f>'Private,Public8EndUse'!O67</f>
        <v>0.11281224818694602</v>
      </c>
      <c r="AB18" s="500">
        <f>'Private,Public8EndUse'!P67</f>
        <v>0.15911899006177813</v>
      </c>
      <c r="AC18" s="500">
        <f>'Private,Public8EndUse'!Q67</f>
        <v>0.13263497179693795</v>
      </c>
      <c r="AD18" s="500">
        <f>'Private,Public8EndUse'!L67</f>
        <v>9.1216760676873496E-2</v>
      </c>
      <c r="AE18" s="500">
        <f>'Private,Public8EndUse'!R67</f>
        <v>5.0443190975020147E-2</v>
      </c>
      <c r="AF18" s="501">
        <f t="shared" si="0"/>
        <v>0.99999999999999989</v>
      </c>
    </row>
    <row r="19" spans="2:32">
      <c r="B19" s="499">
        <v>2008</v>
      </c>
      <c r="C19" s="500">
        <f>'Private,Public8EndUse'!M28</f>
        <v>0.22526262589798202</v>
      </c>
      <c r="D19" s="500">
        <f>'Private,Public8EndUse'!N28</f>
        <v>0.19215912782932024</v>
      </c>
      <c r="E19" s="500">
        <f>'Private,Public8EndUse'!O28</f>
        <v>7.4185047471210422E-2</v>
      </c>
      <c r="F19" s="500">
        <f>'Private,Public8EndUse'!P28</f>
        <v>0.11194541713295549</v>
      </c>
      <c r="G19" s="500">
        <f>'Private,Public8EndUse'!Q28</f>
        <v>9.5520017327894294E-2</v>
      </c>
      <c r="H19" s="500">
        <f>'Private,Public8EndUse'!L28</f>
        <v>0.26475578498971158</v>
      </c>
      <c r="I19" s="500">
        <f>'Private,Public8EndUse'!R28</f>
        <v>3.6171979350925962E-2</v>
      </c>
      <c r="J19" s="501">
        <f>SUM(C19:I19)</f>
        <v>1</v>
      </c>
      <c r="M19" s="499">
        <v>2008</v>
      </c>
      <c r="N19" s="503">
        <f>'Private,Public8EndUse'!M93</f>
        <v>0</v>
      </c>
      <c r="O19" s="503">
        <f>'Private,Public8EndUse'!N93</f>
        <v>0.34330484330484329</v>
      </c>
      <c r="P19" s="503">
        <f>'Private,Public8EndUse'!O93</f>
        <v>0</v>
      </c>
      <c r="Q19" s="503">
        <f>'Private,Public8EndUse'!P93</f>
        <v>0</v>
      </c>
      <c r="R19" s="503">
        <f>'Private,Public8EndUse'!Q93</f>
        <v>0</v>
      </c>
      <c r="S19" s="503">
        <f>'Private,Public8EndUse'!L93</f>
        <v>0.65550807217473883</v>
      </c>
      <c r="T19" s="503">
        <f>'Private,Public8EndUse'!R93</f>
        <v>1.1870845204178537E-3</v>
      </c>
      <c r="U19" s="501">
        <f t="shared" si="1"/>
        <v>1</v>
      </c>
      <c r="X19" s="499">
        <v>2008</v>
      </c>
      <c r="Y19" s="500">
        <f>'Private,Public8EndUse'!M68</f>
        <v>0.32370182082274213</v>
      </c>
      <c r="Z19" s="500">
        <f>'Private,Public8EndUse'!N68</f>
        <v>0.12610883436219328</v>
      </c>
      <c r="AA19" s="500">
        <f>'Private,Public8EndUse'!O68</f>
        <v>0.10660372464595114</v>
      </c>
      <c r="AB19" s="500">
        <f>'Private,Public8EndUse'!P68</f>
        <v>0.16086527986719926</v>
      </c>
      <c r="AC19" s="500">
        <f>'Private,Public8EndUse'!Q68</f>
        <v>0.13726202209887431</v>
      </c>
      <c r="AD19" s="500">
        <f>'Private,Public8EndUse'!L68</f>
        <v>9.3998028738911651E-2</v>
      </c>
      <c r="AE19" s="500">
        <f>'Private,Public8EndUse'!R68</f>
        <v>5.1460289464128235E-2</v>
      </c>
      <c r="AF19" s="501">
        <f t="shared" si="0"/>
        <v>0.99999999999999989</v>
      </c>
    </row>
    <row r="20" spans="2:32">
      <c r="B20" s="499">
        <v>2009</v>
      </c>
      <c r="C20" s="500">
        <f>'Private,Public8EndUse'!M29</f>
        <v>0.23612668161434977</v>
      </c>
      <c r="D20" s="500">
        <f>'Private,Public8EndUse'!N29</f>
        <v>0.18721973094170405</v>
      </c>
      <c r="E20" s="500">
        <f>'Private,Public8EndUse'!O29</f>
        <v>7.5917881165919285E-2</v>
      </c>
      <c r="F20" s="500">
        <f>'Private,Public8EndUse'!P29</f>
        <v>0.10979540358744394</v>
      </c>
      <c r="G20" s="500">
        <f>'Private,Public8EndUse'!Q29</f>
        <v>9.68329596412556E-2</v>
      </c>
      <c r="H20" s="500">
        <f>'Private,Public8EndUse'!L29</f>
        <v>0.25336322869955158</v>
      </c>
      <c r="I20" s="500">
        <f>'Private,Public8EndUse'!R29</f>
        <v>4.077914798206278E-2</v>
      </c>
      <c r="J20" s="501">
        <f>SUM(C20:I20)</f>
        <v>1.000035033632287</v>
      </c>
      <c r="M20" s="499">
        <v>2009</v>
      </c>
      <c r="N20" s="503">
        <f>'Private,Public8EndUse'!M94</f>
        <v>0</v>
      </c>
      <c r="O20" s="503">
        <f>'Private,Public8EndUse'!N94</f>
        <v>0.35245706106870228</v>
      </c>
      <c r="P20" s="503">
        <f>'Private,Public8EndUse'!O94</f>
        <v>0</v>
      </c>
      <c r="Q20" s="503">
        <f>'Private,Public8EndUse'!P94</f>
        <v>0</v>
      </c>
      <c r="R20" s="503">
        <f>'Private,Public8EndUse'!Q94</f>
        <v>0</v>
      </c>
      <c r="S20" s="503">
        <f>'Private,Public8EndUse'!L94</f>
        <v>0.64706583969465647</v>
      </c>
      <c r="T20" s="503">
        <f>'Private,Public8EndUse'!R94</f>
        <v>7.1564885496183206E-4</v>
      </c>
      <c r="U20" s="501">
        <f t="shared" si="1"/>
        <v>1.0002385496183206</v>
      </c>
      <c r="X20" s="499">
        <v>2009</v>
      </c>
      <c r="Y20" s="500">
        <f>'Private,Public8EndUse'!M69</f>
        <v>0.3343253968253968</v>
      </c>
      <c r="Z20" s="500">
        <f>'Private,Public8EndUse'!N69</f>
        <v>0.11850198412698412</v>
      </c>
      <c r="AA20" s="500">
        <f>'Private,Public8EndUse'!O69</f>
        <v>0.10749007936507937</v>
      </c>
      <c r="AB20" s="500">
        <f>'Private,Public8EndUse'!P69</f>
        <v>0.15545634920634921</v>
      </c>
      <c r="AC20" s="500">
        <f>'Private,Public8EndUse'!Q69</f>
        <v>0.13710317460317462</v>
      </c>
      <c r="AD20" s="500">
        <f>'Private,Public8EndUse'!L69</f>
        <v>8.9632936507936509E-2</v>
      </c>
      <c r="AE20" s="500">
        <f>'Private,Public8EndUse'!R69</f>
        <v>5.7440476190476188E-2</v>
      </c>
      <c r="AF20" s="501">
        <f t="shared" si="0"/>
        <v>0.99995039682539677</v>
      </c>
    </row>
    <row r="21" spans="2:32">
      <c r="B21" s="499">
        <v>2010</v>
      </c>
      <c r="C21" s="500">
        <f>'Private,Public8EndUse'!M30</f>
        <v>0.24187260703097807</v>
      </c>
      <c r="D21" s="500">
        <f>'Private,Public8EndUse'!N30</f>
        <v>0.18374521406195615</v>
      </c>
      <c r="E21" s="500">
        <f>'Private,Public8EndUse'!O30</f>
        <v>7.5809258614688485E-2</v>
      </c>
      <c r="F21" s="500">
        <f>'Private,Public8EndUse'!P30</f>
        <v>0.10452488687782806</v>
      </c>
      <c r="G21" s="500">
        <f>'Private,Public8EndUse'!Q30</f>
        <v>9.7981204316045942E-2</v>
      </c>
      <c r="H21" s="500">
        <f>'Private,Public8EndUse'!L30</f>
        <v>0.24963452836756003</v>
      </c>
      <c r="I21" s="500">
        <f>'Private,Public8EndUse'!R30</f>
        <v>4.6397493908806126E-2</v>
      </c>
      <c r="J21" s="501">
        <f>SUM(C21:I21)</f>
        <v>0.99996519317786281</v>
      </c>
      <c r="M21" s="499">
        <v>2010</v>
      </c>
      <c r="N21" s="503">
        <f>'Private,Public8EndUse'!M95</f>
        <v>0</v>
      </c>
      <c r="O21" s="503">
        <f>'Private,Public8EndUse'!N95</f>
        <v>0.36115056818181818</v>
      </c>
      <c r="P21" s="503">
        <f>'Private,Public8EndUse'!O95</f>
        <v>0</v>
      </c>
      <c r="Q21" s="503">
        <f>'Private,Public8EndUse'!P95</f>
        <v>0</v>
      </c>
      <c r="R21" s="503">
        <f>'Private,Public8EndUse'!Q95</f>
        <v>0</v>
      </c>
      <c r="S21" s="503">
        <f>'Private,Public8EndUse'!L95</f>
        <v>0.63837594696969702</v>
      </c>
      <c r="T21" s="503">
        <f>'Private,Public8EndUse'!R95</f>
        <v>3.5511363636363637E-4</v>
      </c>
      <c r="U21" s="501">
        <f t="shared" si="1"/>
        <v>0.99988162878787878</v>
      </c>
      <c r="X21" s="499">
        <v>2010</v>
      </c>
      <c r="Y21" s="500">
        <f>'Private,Public8EndUse'!M70</f>
        <v>0.34261907109752487</v>
      </c>
      <c r="Z21" s="500">
        <f>'Private,Public8EndUse'!N70</f>
        <v>0.10985109949709101</v>
      </c>
      <c r="AA21" s="500">
        <f>'Private,Public8EndUse'!O70</f>
        <v>0.10738585938270387</v>
      </c>
      <c r="AB21" s="500">
        <f>'Private,Public8EndUse'!P70</f>
        <v>0.1480623212700917</v>
      </c>
      <c r="AC21" s="500">
        <f>'Private,Public8EndUse'!Q70</f>
        <v>0.13879301843999606</v>
      </c>
      <c r="AD21" s="500">
        <f>'Private,Public8EndUse'!L70</f>
        <v>8.7713243269894492E-2</v>
      </c>
      <c r="AE21" s="500">
        <f>'Private,Public8EndUse'!R70</f>
        <v>6.5575387042697955E-2</v>
      </c>
      <c r="AF21" s="501">
        <f t="shared" si="0"/>
        <v>0.99999999999999989</v>
      </c>
    </row>
    <row r="22" spans="2:32">
      <c r="B22" s="499">
        <v>2011</v>
      </c>
      <c r="C22" s="500">
        <f>'Private,Public8EndUse'!M31</f>
        <v>0.24716825701929018</v>
      </c>
      <c r="D22" s="500">
        <f>'Private,Public8EndUse'!N31</f>
        <v>0.18051074346124801</v>
      </c>
      <c r="E22" s="500">
        <f>'Private,Public8EndUse'!O31</f>
        <v>7.5650442781629718E-2</v>
      </c>
      <c r="F22" s="500">
        <f>'Private,Public8EndUse'!P31</f>
        <v>9.9231138875540609E-2</v>
      </c>
      <c r="G22" s="500">
        <f>'Private,Public8EndUse'!Q31</f>
        <v>0.10108464337200522</v>
      </c>
      <c r="H22" s="500">
        <f>'Private,Public8EndUse'!L31</f>
        <v>0.24123017779913503</v>
      </c>
      <c r="I22" s="500">
        <f>'Private,Public8EndUse'!R31</f>
        <v>5.5124596691151231E-2</v>
      </c>
      <c r="J22" s="501">
        <f t="shared" ref="J22:J32" si="2">SUM(C22:I22)</f>
        <v>0.99999999999999989</v>
      </c>
      <c r="M22" s="499">
        <v>2011</v>
      </c>
      <c r="N22" s="503">
        <f>'Private,Public8EndUse'!M96</f>
        <v>0</v>
      </c>
      <c r="O22" s="503">
        <f>'Private,Public8EndUse'!N96</f>
        <v>0.37796307325789158</v>
      </c>
      <c r="P22" s="503">
        <f>'Private,Public8EndUse'!O96</f>
        <v>0</v>
      </c>
      <c r="Q22" s="503">
        <f>'Private,Public8EndUse'!P96</f>
        <v>0</v>
      </c>
      <c r="R22" s="503">
        <f>'Private,Public8EndUse'!Q96</f>
        <v>0</v>
      </c>
      <c r="S22" s="503">
        <f>'Private,Public8EndUse'!L96</f>
        <v>0.62179868969624774</v>
      </c>
      <c r="T22" s="503">
        <f>'Private,Public8EndUse'!R96</f>
        <v>2.3823704586063132E-4</v>
      </c>
      <c r="U22" s="501">
        <f t="shared" si="1"/>
        <v>1</v>
      </c>
      <c r="X22" s="499">
        <v>2011</v>
      </c>
      <c r="Y22" s="500">
        <f>'Private,Public8EndUse'!M71</f>
        <v>0.34722021312503015</v>
      </c>
      <c r="Z22" s="500">
        <f>'Private,Public8EndUse'!N71</f>
        <v>0.1005834418245817</v>
      </c>
      <c r="AA22" s="500">
        <f>'Private,Public8EndUse'!O71</f>
        <v>0.10627320507256859</v>
      </c>
      <c r="AB22" s="500">
        <f>'Private,Public8EndUse'!P71</f>
        <v>0.13939919957567867</v>
      </c>
      <c r="AC22" s="500">
        <f>'Private,Public8EndUse'!Q71</f>
        <v>0.14200298953662183</v>
      </c>
      <c r="AD22" s="500">
        <f>'Private,Public8EndUse'!L71</f>
        <v>8.7178745358985482E-2</v>
      </c>
      <c r="AE22" s="500">
        <f>'Private,Public8EndUse'!R71</f>
        <v>7.734220550653359E-2</v>
      </c>
      <c r="AF22" s="501">
        <f t="shared" si="0"/>
        <v>1</v>
      </c>
    </row>
    <row r="23" spans="2:32">
      <c r="B23" s="499">
        <v>2012</v>
      </c>
      <c r="C23" s="500">
        <f>'Private,Public8EndUse'!M32</f>
        <v>0.25112535806847636</v>
      </c>
      <c r="D23" s="500">
        <f>'Private,Public8EndUse'!N32</f>
        <v>0.17436229709453008</v>
      </c>
      <c r="E23" s="500">
        <f>'Private,Public8EndUse'!O32</f>
        <v>7.5296685308961941E-2</v>
      </c>
      <c r="F23" s="500">
        <f>'Private,Public8EndUse'!P32</f>
        <v>9.3541126722138865E-2</v>
      </c>
      <c r="G23" s="500">
        <f>'Private,Public8EndUse'!Q32</f>
        <v>0.10568135315782294</v>
      </c>
      <c r="H23" s="500">
        <f>'Private,Public8EndUse'!L32</f>
        <v>0.2314827445096167</v>
      </c>
      <c r="I23" s="500">
        <f>'Private,Public8EndUse'!R32</f>
        <v>6.8476333378802351E-2</v>
      </c>
      <c r="J23" s="501">
        <f t="shared" si="2"/>
        <v>0.9999658982403492</v>
      </c>
      <c r="M23" s="499">
        <v>2012</v>
      </c>
      <c r="N23" s="503">
        <f>'Private,Public8EndUse'!M97</f>
        <v>0</v>
      </c>
      <c r="O23" s="503">
        <f>'Private,Public8EndUse'!N97</f>
        <v>0.39217615942920409</v>
      </c>
      <c r="P23" s="503">
        <f>'Private,Public8EndUse'!O97</f>
        <v>0</v>
      </c>
      <c r="Q23" s="503">
        <f>'Private,Public8EndUse'!P97</f>
        <v>0</v>
      </c>
      <c r="R23" s="503">
        <f>'Private,Public8EndUse'!Q97</f>
        <v>0</v>
      </c>
      <c r="S23" s="503">
        <f>'Private,Public8EndUse'!L97</f>
        <v>0.60782384057079597</v>
      </c>
      <c r="T23" s="503">
        <f>'Private,Public8EndUse'!R97</f>
        <v>1.2301636117603641E-4</v>
      </c>
      <c r="U23" s="501">
        <f t="shared" si="1"/>
        <v>1.0001230163611761</v>
      </c>
      <c r="V23" s="17"/>
      <c r="X23" s="499">
        <v>2012</v>
      </c>
      <c r="Y23" s="500">
        <f>'Private,Public8EndUse'!M72</f>
        <v>0.34744043406463787</v>
      </c>
      <c r="Z23" s="500">
        <f>'Private,Public8EndUse'!N72</f>
        <v>9.0823307383816942E-2</v>
      </c>
      <c r="AA23" s="500">
        <f>'Private,Public8EndUse'!O72</f>
        <v>0.10417551309271054</v>
      </c>
      <c r="AB23" s="500">
        <f>'Private,Public8EndUse'!P72</f>
        <v>0.12941731540457654</v>
      </c>
      <c r="AC23" s="500">
        <f>'Private,Public8EndUse'!Q72</f>
        <v>0.1462137296532201</v>
      </c>
      <c r="AD23" s="500">
        <f>'Private,Public8EndUse'!L72</f>
        <v>8.7143194149563577E-2</v>
      </c>
      <c r="AE23" s="500">
        <f>'Private,Public8EndUse'!R72</f>
        <v>9.4692144373673043E-2</v>
      </c>
      <c r="AF23" s="502">
        <f t="shared" ref="AF23:AF61" si="3">SUM(Y23:AE23)</f>
        <v>0.99990563812219868</v>
      </c>
    </row>
    <row r="24" spans="2:32">
      <c r="B24" s="499">
        <v>2013</v>
      </c>
      <c r="C24" s="500">
        <f>'Private,Public8EndUse'!M33</f>
        <v>0.24269016111481626</v>
      </c>
      <c r="D24" s="500">
        <f>'Private,Public8EndUse'!N33</f>
        <v>0.19130190599880656</v>
      </c>
      <c r="E24" s="500">
        <f>'Private,Public8EndUse'!O33</f>
        <v>6.5779774649864856E-2</v>
      </c>
      <c r="F24" s="500">
        <f>'Private,Public8EndUse'!P33</f>
        <v>8.4383446242409357E-2</v>
      </c>
      <c r="G24" s="500">
        <f>'Private,Public8EndUse'!Q33</f>
        <v>8.792867422513953E-2</v>
      </c>
      <c r="H24" s="500">
        <f>'Private,Public8EndUse'!L33</f>
        <v>0.25627435150408928</v>
      </c>
      <c r="I24" s="500">
        <f>'Private,Public8EndUse'!R33</f>
        <v>7.1676787532029912E-2</v>
      </c>
      <c r="J24" s="501">
        <f t="shared" si="2"/>
        <v>1.0000351012671558</v>
      </c>
      <c r="M24" s="499">
        <v>2013</v>
      </c>
      <c r="N24" s="503">
        <f>'Private,Public8EndUse'!M98</f>
        <v>0</v>
      </c>
      <c r="O24" s="503">
        <f>'Private,Public8EndUse'!N98</f>
        <v>0.41220995160689911</v>
      </c>
      <c r="P24" s="503">
        <f>'Private,Public8EndUse'!O98</f>
        <v>0</v>
      </c>
      <c r="Q24" s="503">
        <f>'Private,Public8EndUse'!P98</f>
        <v>0</v>
      </c>
      <c r="R24" s="503">
        <f>'Private,Public8EndUse'!Q98</f>
        <v>0</v>
      </c>
      <c r="S24" s="503">
        <f>'Private,Public8EndUse'!L98</f>
        <v>0.58754187864499319</v>
      </c>
      <c r="T24" s="503">
        <f>'Private,Public8EndUse'!R98</f>
        <v>2.4816974810770568E-4</v>
      </c>
      <c r="U24" s="501">
        <f t="shared" si="1"/>
        <v>1</v>
      </c>
      <c r="V24" s="17"/>
      <c r="X24" s="499">
        <v>2013</v>
      </c>
      <c r="Y24" s="500">
        <f>'Private,Public8EndUse'!M73</f>
        <v>0.33842388644150756</v>
      </c>
      <c r="Z24" s="500">
        <f>'Private,Public8EndUse'!N73</f>
        <v>0.10416054821341166</v>
      </c>
      <c r="AA24" s="500">
        <f>'Private,Public8EndUse'!O73</f>
        <v>9.1727851199216837E-2</v>
      </c>
      <c r="AB24" s="500">
        <f>'Private,Public8EndUse'!P73</f>
        <v>0.11767009300048947</v>
      </c>
      <c r="AC24" s="500">
        <f>'Private,Public8EndUse'!Q73</f>
        <v>0.12261380323054331</v>
      </c>
      <c r="AD24" s="500">
        <f>'Private,Public8EndUse'!L73</f>
        <v>0.12559960841899168</v>
      </c>
      <c r="AE24" s="500">
        <f>'Private,Public8EndUse'!R73</f>
        <v>9.9853157121879588E-2</v>
      </c>
      <c r="AF24" s="502">
        <f t="shared" si="3"/>
        <v>1.0000489476260399</v>
      </c>
    </row>
    <row r="25" spans="2:32">
      <c r="B25" s="499">
        <v>2014</v>
      </c>
      <c r="C25" s="500">
        <f>'Private,Public8EndUse'!M34</f>
        <v>0.27242372659421238</v>
      </c>
      <c r="D25" s="500">
        <f>'Private,Public8EndUse'!N34</f>
        <v>0.19821264894592117</v>
      </c>
      <c r="E25" s="500">
        <f>'Private,Public8EndUse'!O34</f>
        <v>5.7352363493518396E-2</v>
      </c>
      <c r="F25" s="500">
        <f>'Private,Public8EndUse'!P34</f>
        <v>7.5029461830561736E-2</v>
      </c>
      <c r="G25" s="500">
        <f>'Private,Public8EndUse'!Q34</f>
        <v>7.7157260704465103E-2</v>
      </c>
      <c r="H25" s="500">
        <f>'Private,Public8EndUse'!L34</f>
        <v>0.24548251931386669</v>
      </c>
      <c r="I25" s="500">
        <f>'Private,Public8EndUse'!R34</f>
        <v>7.43420191174545E-2</v>
      </c>
      <c r="J25" s="501">
        <f t="shared" si="2"/>
        <v>1</v>
      </c>
      <c r="M25" s="499">
        <v>2014</v>
      </c>
      <c r="N25" s="503">
        <f>'Private,Public8EndUse'!M99</f>
        <v>0</v>
      </c>
      <c r="O25" s="503">
        <f>'Private,Public8EndUse'!N99</f>
        <v>0.43623170581724263</v>
      </c>
      <c r="P25" s="503">
        <f>'Private,Public8EndUse'!O99</f>
        <v>0</v>
      </c>
      <c r="Q25" s="503">
        <f>'Private,Public8EndUse'!P99</f>
        <v>0</v>
      </c>
      <c r="R25" s="503">
        <f>'Private,Public8EndUse'!Q99</f>
        <v>0</v>
      </c>
      <c r="S25" s="503">
        <f>'Private,Public8EndUse'!L99</f>
        <v>0.56315336366990532</v>
      </c>
      <c r="T25" s="503">
        <f>'Private,Public8EndUse'!R99</f>
        <v>4.9194441028163822E-4</v>
      </c>
      <c r="U25" s="501">
        <f t="shared" si="1"/>
        <v>0.99987701389742967</v>
      </c>
      <c r="V25" s="17"/>
      <c r="X25" s="499">
        <v>2014</v>
      </c>
      <c r="Y25" s="500">
        <f>'Private,Public8EndUse'!M74</f>
        <v>0.37123611544809743</v>
      </c>
      <c r="Z25" s="500">
        <f>'Private,Public8EndUse'!N74</f>
        <v>0.11187937725833073</v>
      </c>
      <c r="AA25" s="500">
        <f>'Private,Public8EndUse'!O74</f>
        <v>7.8154971673283669E-2</v>
      </c>
      <c r="AB25" s="500">
        <f>'Private,Public8EndUse'!P74</f>
        <v>0.10224383280546014</v>
      </c>
      <c r="AC25" s="500">
        <f>'Private,Public8EndUse'!Q74</f>
        <v>0.10514341794174065</v>
      </c>
      <c r="AD25" s="500">
        <f>'Private,Public8EndUse'!L74</f>
        <v>0.13025828612213944</v>
      </c>
      <c r="AE25" s="500">
        <f>'Private,Public8EndUse'!R74</f>
        <v>0.10112860775304457</v>
      </c>
      <c r="AF25" s="502">
        <f t="shared" si="3"/>
        <v>1.0000446090020967</v>
      </c>
    </row>
    <row r="26" spans="2:32">
      <c r="B26" s="499">
        <v>2015</v>
      </c>
      <c r="C26" s="500">
        <f>'Private,Public8EndUse'!M35</f>
        <v>0.27516158818097874</v>
      </c>
      <c r="D26" s="500">
        <f>'Private,Public8EndUse'!N35</f>
        <v>0.20984234465305565</v>
      </c>
      <c r="E26" s="500">
        <f>'Private,Public8EndUse'!O35</f>
        <v>5.1297835231353235E-2</v>
      </c>
      <c r="F26" s="500">
        <f>'Private,Public8EndUse'!P35</f>
        <v>6.7439554050819056E-2</v>
      </c>
      <c r="G26" s="500">
        <f>'Private,Public8EndUse'!Q35</f>
        <v>7.0004445812386712E-2</v>
      </c>
      <c r="H26" s="500">
        <f>'Private,Public8EndUse'!L35</f>
        <v>0.24770014705379434</v>
      </c>
      <c r="I26" s="500">
        <f>'Private,Public8EndUse'!R35</f>
        <v>7.851988646079136E-2</v>
      </c>
      <c r="J26" s="501">
        <f t="shared" si="2"/>
        <v>0.99996580144317904</v>
      </c>
      <c r="M26" s="499">
        <v>2015</v>
      </c>
      <c r="N26" s="503">
        <f>'Private,Public8EndUse'!M100</f>
        <v>0</v>
      </c>
      <c r="O26" s="503">
        <f>'Private,Public8EndUse'!N100</f>
        <v>0.46261923176076308</v>
      </c>
      <c r="P26" s="503">
        <f>'Private,Public8EndUse'!O100</f>
        <v>0</v>
      </c>
      <c r="Q26" s="503">
        <f>'Private,Public8EndUse'!P100</f>
        <v>0</v>
      </c>
      <c r="R26" s="503">
        <f>'Private,Public8EndUse'!Q100</f>
        <v>0</v>
      </c>
      <c r="S26" s="503">
        <f>'Private,Public8EndUse'!L100</f>
        <v>0.53622067543181229</v>
      </c>
      <c r="T26" s="503">
        <f>'Private,Public8EndUse'!R100</f>
        <v>1.1600928074245939E-3</v>
      </c>
      <c r="U26" s="501">
        <f t="shared" si="1"/>
        <v>0.99999999999999989</v>
      </c>
      <c r="V26" s="17"/>
      <c r="X26" s="499">
        <v>2015</v>
      </c>
      <c r="Y26" s="500">
        <f>'Private,Public8EndUse'!M75</f>
        <v>0.37452869710934228</v>
      </c>
      <c r="Z26" s="500">
        <f>'Private,Public8EndUse'!N75</f>
        <v>0.11855886049434436</v>
      </c>
      <c r="AA26" s="500">
        <f>'Private,Public8EndUse'!O75</f>
        <v>6.9822650467811762E-2</v>
      </c>
      <c r="AB26" s="500">
        <f>'Private,Public8EndUse'!P75</f>
        <v>9.1793511148349854E-2</v>
      </c>
      <c r="AC26" s="500">
        <f>'Private,Public8EndUse'!Q75</f>
        <v>9.5284643671740443E-2</v>
      </c>
      <c r="AD26" s="500">
        <f>'Private,Public8EndUse'!L75</f>
        <v>0.14350882092817577</v>
      </c>
      <c r="AE26" s="500">
        <f>'Private,Public8EndUse'!R75</f>
        <v>0.10645626774659032</v>
      </c>
      <c r="AF26" s="502">
        <f t="shared" si="3"/>
        <v>0.99995345156635473</v>
      </c>
    </row>
    <row r="27" spans="2:32">
      <c r="B27" s="499">
        <v>2016</v>
      </c>
      <c r="C27" s="500">
        <f>'Private,Public8EndUse'!M36</f>
        <v>0.27298369903899766</v>
      </c>
      <c r="D27" s="500">
        <f>'Private,Public8EndUse'!N36</f>
        <v>0.22739348617534191</v>
      </c>
      <c r="E27" s="500">
        <f>'Private,Public8EndUse'!O36</f>
        <v>4.5229427006461348E-2</v>
      </c>
      <c r="F27" s="500">
        <f>'Private,Public8EndUse'!P36</f>
        <v>5.8676899865525274E-2</v>
      </c>
      <c r="G27" s="500">
        <f>'Private,Public8EndUse'!Q36</f>
        <v>6.2087966151726855E-2</v>
      </c>
      <c r="H27" s="500">
        <f>'Private,Public8EndUse'!L36</f>
        <v>0.25274689232182096</v>
      </c>
      <c r="I27" s="500">
        <f>'Private,Public8EndUse'!R36</f>
        <v>8.0848830725835541E-2</v>
      </c>
      <c r="J27" s="501">
        <f t="shared" si="2"/>
        <v>0.99996720128570948</v>
      </c>
      <c r="M27" s="499">
        <v>2016</v>
      </c>
      <c r="N27" s="503">
        <f>'Private,Public8EndUse'!M101</f>
        <v>0</v>
      </c>
      <c r="O27" s="503">
        <f>'Private,Public8EndUse'!N101</f>
        <v>0.48770040386733571</v>
      </c>
      <c r="P27" s="503">
        <f>'Private,Public8EndUse'!O101</f>
        <v>0</v>
      </c>
      <c r="Q27" s="503">
        <f>'Private,Public8EndUse'!P101</f>
        <v>0</v>
      </c>
      <c r="R27" s="503">
        <f>'Private,Public8EndUse'!Q101</f>
        <v>0</v>
      </c>
      <c r="S27" s="503">
        <f>'Private,Public8EndUse'!L101</f>
        <v>0.50997429935136462</v>
      </c>
      <c r="T27" s="503">
        <f>'Private,Public8EndUse'!R101</f>
        <v>2.3252967812997186E-3</v>
      </c>
      <c r="U27" s="501">
        <f t="shared" si="1"/>
        <v>1</v>
      </c>
      <c r="V27" s="17"/>
      <c r="X27" s="499">
        <v>2016</v>
      </c>
      <c r="Y27" s="500">
        <f>'Private,Public8EndUse'!M76</f>
        <v>0.37292768169190788</v>
      </c>
      <c r="Z27" s="500">
        <f>'Private,Public8EndUse'!N76</f>
        <v>0.13209068912985034</v>
      </c>
      <c r="AA27" s="500">
        <f>'Private,Public8EndUse'!O76</f>
        <v>6.1788690742898111E-2</v>
      </c>
      <c r="AB27" s="500">
        <f>'Private,Public8EndUse'!P76</f>
        <v>8.0159512501120175E-2</v>
      </c>
      <c r="AC27" s="500">
        <f>'Private,Public8EndUse'!Q76</f>
        <v>8.4819428264181373E-2</v>
      </c>
      <c r="AD27" s="500">
        <f>'Private,Public8EndUse'!L76</f>
        <v>0.1585715565910924</v>
      </c>
      <c r="AE27" s="500">
        <f>'Private,Public8EndUse'!R76</f>
        <v>0.1095976341966126</v>
      </c>
      <c r="AF27" s="502">
        <f t="shared" si="3"/>
        <v>0.99995519311766279</v>
      </c>
    </row>
    <row r="28" spans="2:32">
      <c r="B28" s="499">
        <v>2017</v>
      </c>
      <c r="C28" s="500">
        <f>'Private,Public8EndUse'!M37</f>
        <v>0.27134398465151666</v>
      </c>
      <c r="D28" s="500">
        <f>'Private,Public8EndUse'!N37</f>
        <v>0.23955542324104395</v>
      </c>
      <c r="E28" s="500">
        <f>'Private,Public8EndUse'!O37</f>
        <v>4.0355926036188018E-2</v>
      </c>
      <c r="F28" s="500">
        <f>'Private,Public8EndUse'!P37</f>
        <v>5.0378750289437994E-2</v>
      </c>
      <c r="G28" s="500">
        <f>'Private,Public8EndUse'!Q37</f>
        <v>5.4645893288346396E-2</v>
      </c>
      <c r="H28" s="500">
        <f>'Private,Public8EndUse'!L37</f>
        <v>0.26092421686348449</v>
      </c>
      <c r="I28" s="500">
        <f>'Private,Public8EndUse'!R37</f>
        <v>3.4269458502861304E-2</v>
      </c>
      <c r="J28" s="501">
        <f t="shared" si="2"/>
        <v>0.95147365287287866</v>
      </c>
      <c r="M28" s="499">
        <v>2017</v>
      </c>
      <c r="N28" s="503">
        <f>'Private,Public8EndUse'!M102</f>
        <v>0</v>
      </c>
      <c r="O28" s="503">
        <f>'Private,Public8EndUse'!N102</f>
        <v>0.51299572910311164</v>
      </c>
      <c r="P28" s="503">
        <f>'Private,Public8EndUse'!O102</f>
        <v>0</v>
      </c>
      <c r="Q28" s="503">
        <f>'Private,Public8EndUse'!P102</f>
        <v>0</v>
      </c>
      <c r="R28" s="503">
        <f>'Private,Public8EndUse'!Q102</f>
        <v>0</v>
      </c>
      <c r="S28" s="503">
        <f>'Private,Public8EndUse'!L102</f>
        <v>0.48236729713239779</v>
      </c>
      <c r="T28" s="503">
        <f>'Private,Public8EndUse'!R102</f>
        <v>0</v>
      </c>
      <c r="U28" s="501">
        <f t="shared" si="1"/>
        <v>0.99536302623550943</v>
      </c>
      <c r="V28" s="17"/>
      <c r="X28" s="499">
        <v>2017</v>
      </c>
      <c r="Y28" s="500">
        <f>'Private,Public8EndUse'!M77</f>
        <v>0.37225449264839355</v>
      </c>
      <c r="Z28" s="500">
        <f>'Private,Public8EndUse'!N77</f>
        <v>0.13786531130876747</v>
      </c>
      <c r="AA28" s="500">
        <f>'Private,Public8EndUse'!O77</f>
        <v>5.536394990016337E-2</v>
      </c>
      <c r="AB28" s="500">
        <f>'Private,Public8EndUse'!P77</f>
        <v>6.9114176801597385E-2</v>
      </c>
      <c r="AC28" s="500">
        <f>'Private,Public8EndUse'!Q77</f>
        <v>7.4968233799237616E-2</v>
      </c>
      <c r="AD28" s="500">
        <f>'Private,Public8EndUse'!L77</f>
        <v>0.17857142857142858</v>
      </c>
      <c r="AE28" s="500">
        <f>'Private,Public8EndUse'!R77</f>
        <v>4.7013977128335452E-2</v>
      </c>
      <c r="AF28" s="502">
        <f t="shared" si="3"/>
        <v>0.9351515701579235</v>
      </c>
    </row>
    <row r="29" spans="2:32">
      <c r="B29" s="499">
        <v>2018</v>
      </c>
      <c r="C29" s="500">
        <f>'Private,Public8EndUse'!M38</f>
        <v>0.264839125690288</v>
      </c>
      <c r="D29" s="500">
        <f>'Private,Public8EndUse'!N38</f>
        <v>0.23858338017922687</v>
      </c>
      <c r="E29" s="500">
        <f>'Private,Public8EndUse'!O38</f>
        <v>3.9780430541318079E-2</v>
      </c>
      <c r="F29" s="500">
        <f>'Private,Public8EndUse'!P38</f>
        <v>4.9667669719916673E-2</v>
      </c>
      <c r="G29" s="500">
        <f>'Private,Public8EndUse'!Q38</f>
        <v>5.386726629410403E-2</v>
      </c>
      <c r="H29" s="500">
        <f>'Private,Public8EndUse'!L38</f>
        <v>0.2716841374293178</v>
      </c>
      <c r="I29" s="500">
        <f>'Private,Public8EndUse'!R38</f>
        <v>3.3795178730862074E-2</v>
      </c>
      <c r="J29" s="501">
        <f t="shared" si="2"/>
        <v>0.95221718858503346</v>
      </c>
      <c r="M29" s="499">
        <v>2018</v>
      </c>
      <c r="N29" s="503">
        <f>'Private,Public8EndUse'!M103</f>
        <v>0</v>
      </c>
      <c r="O29" s="503">
        <f>'Private,Public8EndUse'!N103</f>
        <v>0.49239874666357203</v>
      </c>
      <c r="P29" s="503">
        <f>'Private,Public8EndUse'!O103</f>
        <v>0</v>
      </c>
      <c r="Q29" s="503">
        <f>'Private,Public8EndUse'!P103</f>
        <v>0</v>
      </c>
      <c r="R29" s="503">
        <f>'Private,Public8EndUse'!Q103</f>
        <v>0</v>
      </c>
      <c r="S29" s="503">
        <f>'Private,Public8EndUse'!L103</f>
        <v>0.5033074155738656</v>
      </c>
      <c r="T29" s="503">
        <f>'Private,Public8EndUse'!R103</f>
        <v>0</v>
      </c>
      <c r="U29" s="501">
        <f t="shared" si="1"/>
        <v>0.99570616223743769</v>
      </c>
      <c r="V29" s="17"/>
      <c r="X29" s="499">
        <v>2018</v>
      </c>
      <c r="Y29" s="500">
        <f>'Private,Public8EndUse'!M78</f>
        <v>0.37037550869404368</v>
      </c>
      <c r="Z29" s="500">
        <f>'Private,Public8EndUse'!N78</f>
        <v>0.13743988161302256</v>
      </c>
      <c r="AA29" s="500">
        <f>'Private,Public8EndUse'!O78</f>
        <v>5.5632630410654825E-2</v>
      </c>
      <c r="AB29" s="500">
        <f>'Private,Public8EndUse'!P78</f>
        <v>6.9459859415464301E-2</v>
      </c>
      <c r="AC29" s="500">
        <f>'Private,Public8EndUse'!Q78</f>
        <v>7.5332963374028852E-2</v>
      </c>
      <c r="AD29" s="500">
        <f>'Private,Public8EndUse'!L78</f>
        <v>0.1793840177580466</v>
      </c>
      <c r="AE29" s="500">
        <f>'Private,Public8EndUse'!R78</f>
        <v>4.7262301146873846E-2</v>
      </c>
      <c r="AF29" s="502">
        <f t="shared" si="3"/>
        <v>0.93488716241213454</v>
      </c>
    </row>
    <row r="30" spans="2:32">
      <c r="B30" s="499">
        <v>2019</v>
      </c>
      <c r="C30" s="500">
        <f>'Private,Public8EndUse'!M39</f>
        <v>0.2724887929603188</v>
      </c>
      <c r="D30" s="500">
        <f>'Private,Public8EndUse'!N39</f>
        <v>0.23360451602191598</v>
      </c>
      <c r="E30" s="500">
        <f>'Private,Public8EndUse'!O39</f>
        <v>4.1142287896397144E-2</v>
      </c>
      <c r="F30" s="500">
        <f>'Private,Public8EndUse'!P39</f>
        <v>5.2033870164369916E-2</v>
      </c>
      <c r="G30" s="500">
        <f>'Private,Public8EndUse'!Q39</f>
        <v>5.57197409928607E-2</v>
      </c>
      <c r="H30" s="500">
        <f>'Private,Public8EndUse'!L39</f>
        <v>0.26066744147434834</v>
      </c>
      <c r="I30" s="500">
        <f>'Private,Public8EndUse'!R39</f>
        <v>3.4932757761912667E-2</v>
      </c>
      <c r="J30" s="501">
        <f t="shared" si="2"/>
        <v>0.9505894072721236</v>
      </c>
      <c r="M30" s="499">
        <v>2019</v>
      </c>
      <c r="N30" s="503">
        <f>'Private,Public8EndUse'!M104</f>
        <v>0</v>
      </c>
      <c r="O30" s="503">
        <f>'Private,Public8EndUse'!N104</f>
        <v>0.51221957638801852</v>
      </c>
      <c r="P30" s="503">
        <f>'Private,Public8EndUse'!O104</f>
        <v>0</v>
      </c>
      <c r="Q30" s="503">
        <f>'Private,Public8EndUse'!P104</f>
        <v>0</v>
      </c>
      <c r="R30" s="503">
        <f>'Private,Public8EndUse'!Q104</f>
        <v>0</v>
      </c>
      <c r="S30" s="503">
        <f>'Private,Public8EndUse'!L104</f>
        <v>0.48301792204536909</v>
      </c>
      <c r="T30" s="503">
        <f>'Private,Public8EndUse'!R104</f>
        <v>0</v>
      </c>
      <c r="U30" s="501">
        <f t="shared" si="1"/>
        <v>0.9952374984333876</v>
      </c>
      <c r="V30" s="17"/>
      <c r="X30" s="499">
        <v>2019</v>
      </c>
      <c r="Y30" s="500">
        <f>'Private,Public8EndUse'!M79</f>
        <v>0.37070834839176003</v>
      </c>
      <c r="Z30" s="500">
        <f>'Private,Public8EndUse'!N79</f>
        <v>0.1331767256956993</v>
      </c>
      <c r="AA30" s="500">
        <f>'Private,Public8EndUse'!O79</f>
        <v>5.5972172027466571E-2</v>
      </c>
      <c r="AB30" s="500">
        <f>'Private,Public8EndUse'!P79</f>
        <v>7.0789663895916149E-2</v>
      </c>
      <c r="AC30" s="500">
        <f>'Private,Public8EndUse'!Q79</f>
        <v>7.5804119985543914E-2</v>
      </c>
      <c r="AD30" s="500">
        <f>'Private,Public8EndUse'!L79</f>
        <v>0.1805204192265992</v>
      </c>
      <c r="AE30" s="500">
        <f>'Private,Public8EndUse'!R79</f>
        <v>4.7524394651246839E-2</v>
      </c>
      <c r="AF30" s="502">
        <f t="shared" si="3"/>
        <v>0.9344958438742319</v>
      </c>
    </row>
    <row r="31" spans="2:32">
      <c r="B31" s="499">
        <v>2020</v>
      </c>
      <c r="C31" s="500">
        <f>'Private,Public8EndUse'!M40</f>
        <v>0.28174458242025807</v>
      </c>
      <c r="D31" s="500">
        <f>'Private,Public8EndUse'!N40</f>
        <v>0.23469077185293402</v>
      </c>
      <c r="E31" s="500">
        <f>'Private,Public8EndUse'!O40</f>
        <v>4.0175310445580717E-2</v>
      </c>
      <c r="F31" s="500">
        <f>'Private,Public8EndUse'!P40</f>
        <v>5.073654735816898E-2</v>
      </c>
      <c r="G31" s="500">
        <f>'Private,Public8EndUse'!Q40</f>
        <v>5.4419284149013876E-2</v>
      </c>
      <c r="H31" s="500">
        <f>'Private,Public8EndUse'!L40</f>
        <v>0.25617847577307035</v>
      </c>
      <c r="I31" s="500">
        <f>'Private,Public8EndUse'!R40</f>
        <v>3.4149013878743611E-2</v>
      </c>
      <c r="J31" s="501">
        <f t="shared" si="2"/>
        <v>0.95209398587776961</v>
      </c>
      <c r="M31" s="499">
        <v>2020</v>
      </c>
      <c r="N31" s="503">
        <f>'Private,Public8EndUse'!M105</f>
        <v>0</v>
      </c>
      <c r="O31" s="503">
        <f>'Private,Public8EndUse'!N105</f>
        <v>0.52038946162657507</v>
      </c>
      <c r="P31" s="503">
        <f>'Private,Public8EndUse'!O105</f>
        <v>0</v>
      </c>
      <c r="Q31" s="503">
        <f>'Private,Public8EndUse'!P105</f>
        <v>0</v>
      </c>
      <c r="R31" s="503">
        <f>'Private,Public8EndUse'!Q105</f>
        <v>0</v>
      </c>
      <c r="S31" s="503">
        <f>'Private,Public8EndUse'!L105</f>
        <v>0.47628865979381441</v>
      </c>
      <c r="T31" s="503">
        <f>'Private,Public8EndUse'!R105</f>
        <v>0</v>
      </c>
      <c r="U31" s="501">
        <f t="shared" si="1"/>
        <v>0.99667812142038947</v>
      </c>
      <c r="V31" s="17"/>
      <c r="X31" s="499">
        <v>2020</v>
      </c>
      <c r="Y31" s="500">
        <f>'Private,Public8EndUse'!M80</f>
        <v>0.38369394014755864</v>
      </c>
      <c r="Z31" s="500">
        <f>'Private,Public8EndUse'!N80</f>
        <v>0.13131061924894305</v>
      </c>
      <c r="AA31" s="500">
        <f>'Private,Public8EndUse'!O80</f>
        <v>5.4712758020392938E-2</v>
      </c>
      <c r="AB31" s="500">
        <f>'Private,Public8EndUse'!P80</f>
        <v>6.9095581530299266E-2</v>
      </c>
      <c r="AC31" s="500">
        <f>'Private,Public8EndUse'!Q80</f>
        <v>7.4110917682168612E-2</v>
      </c>
      <c r="AD31" s="500">
        <f>'Private,Public8EndUse'!L80</f>
        <v>0.17653154273397995</v>
      </c>
      <c r="AE31" s="500">
        <f>'Private,Public8EndUse'!R80</f>
        <v>4.6505844317333997E-2</v>
      </c>
      <c r="AF31" s="502">
        <f t="shared" si="3"/>
        <v>0.93596120368067637</v>
      </c>
    </row>
    <row r="32" spans="2:32">
      <c r="B32" s="499">
        <v>2021</v>
      </c>
      <c r="C32" s="500">
        <f>'Private,Public8EndUse'!M41</f>
        <v>0.288776523141829</v>
      </c>
      <c r="D32" s="500">
        <f>'Private,Public8EndUse'!N41</f>
        <v>0.22797493485544112</v>
      </c>
      <c r="E32" s="500">
        <f>'Private,Public8EndUse'!O41</f>
        <v>4.0358605286015634E-2</v>
      </c>
      <c r="F32" s="500">
        <f>'Private,Public8EndUse'!P41</f>
        <v>5.1216031765727761E-2</v>
      </c>
      <c r="G32" s="500">
        <f>'Private,Public8EndUse'!Q41</f>
        <v>5.4659387020722171E-2</v>
      </c>
      <c r="H32" s="500">
        <f>'Private,Public8EndUse'!L41</f>
        <v>0.25431194937337137</v>
      </c>
      <c r="I32" s="500">
        <f>'Private,Public8EndUse'!R41</f>
        <v>3.4278446457376849E-2</v>
      </c>
      <c r="J32" s="501">
        <f t="shared" si="2"/>
        <v>0.95157587790048392</v>
      </c>
      <c r="M32" s="499">
        <v>2021</v>
      </c>
      <c r="N32" s="503">
        <f>'Private,Public8EndUse'!M106</f>
        <v>0</v>
      </c>
      <c r="O32" s="503">
        <f>'Private,Public8EndUse'!N106</f>
        <v>0.51412769027293492</v>
      </c>
      <c r="P32" s="503">
        <f>'Private,Public8EndUse'!O106</f>
        <v>0</v>
      </c>
      <c r="Q32" s="503">
        <f>'Private,Public8EndUse'!P106</f>
        <v>0</v>
      </c>
      <c r="R32" s="503">
        <f>'Private,Public8EndUse'!Q106</f>
        <v>0</v>
      </c>
      <c r="S32" s="503">
        <f>'Private,Public8EndUse'!L106</f>
        <v>0.48118311891306964</v>
      </c>
      <c r="T32" s="503">
        <f>'Private,Public8EndUse'!R106</f>
        <v>0</v>
      </c>
      <c r="U32" s="501">
        <f t="shared" si="1"/>
        <v>0.99531080918600456</v>
      </c>
      <c r="V32" s="17"/>
      <c r="X32" s="499">
        <v>2021</v>
      </c>
      <c r="Y32" s="500">
        <f>'Private,Public8EndUse'!M81</f>
        <v>0.38918851122538567</v>
      </c>
      <c r="Z32" s="500">
        <f>'Private,Public8EndUse'!N81</f>
        <v>0.12847527070529705</v>
      </c>
      <c r="AA32" s="500">
        <f>'Private,Public8EndUse'!O81</f>
        <v>5.4391906016137796E-2</v>
      </c>
      <c r="AB32" s="500">
        <f>'Private,Public8EndUse'!P81</f>
        <v>6.9024624775283247E-2</v>
      </c>
      <c r="AC32" s="500">
        <f>'Private,Public8EndUse'!Q81</f>
        <v>7.3665287010326513E-2</v>
      </c>
      <c r="AD32" s="500">
        <f>'Private,Public8EndUse'!L81</f>
        <v>0.17542539403821231</v>
      </c>
      <c r="AE32" s="500">
        <f>'Private,Public8EndUse'!R81</f>
        <v>4.6197583511016348E-2</v>
      </c>
      <c r="AF32" s="502">
        <f t="shared" si="3"/>
        <v>0.9363685772816589</v>
      </c>
    </row>
    <row r="33" spans="2:32">
      <c r="B33" s="23">
        <v>2022</v>
      </c>
      <c r="C33" s="111">
        <f t="shared" ref="C33:C61" si="4">1-SUM(D33:I33)</f>
        <v>0.29835087608284627</v>
      </c>
      <c r="D33" s="111">
        <f t="shared" ref="D33:D61" si="5">TREND($D$63:$D$64,$B$63:$B$64,$B33)</f>
        <v>0.20491228273263484</v>
      </c>
      <c r="E33" s="17">
        <v>0.06</v>
      </c>
      <c r="F33" s="111">
        <f t="shared" ref="F33:F61" si="6">TREND($F$63:$F$64,$B$63:$B$64,$B33)</f>
        <v>6.7733917536314969E-2</v>
      </c>
      <c r="G33" s="111">
        <f t="shared" ref="G33:G60" si="7">G32</f>
        <v>5.4659387020722171E-2</v>
      </c>
      <c r="H33" s="111">
        <f t="shared" ref="H33:H61" si="8">TREND($H$63:$H$64,$B$63:$B$64,$B33)</f>
        <v>0.23285038191208773</v>
      </c>
      <c r="I33" s="111">
        <f t="shared" ref="I33:I61" si="9">TREND($I$63:$I$64,$B$63:$B$64,$B33)</f>
        <v>8.1493154715393978E-2</v>
      </c>
      <c r="J33" s="25">
        <f t="shared" ref="J33:J61" si="10">SUM(C33:I33)</f>
        <v>0.99999999999999989</v>
      </c>
      <c r="M33" s="23">
        <v>2022</v>
      </c>
      <c r="N33" s="48">
        <f t="shared" ref="N33:N61" si="11">TREND($N$22:$N$27,$M$22:$M$27,M33)</f>
        <v>0</v>
      </c>
      <c r="O33" s="48">
        <f t="shared" ref="O33:O61" si="12">TREND(O$28:O$32,$M$28:$M$32,$M33)</f>
        <v>0.51950263200163782</v>
      </c>
      <c r="P33" s="48">
        <f>TREND(P$27:P$32,$M$27:$M$32,$M33)</f>
        <v>0</v>
      </c>
      <c r="Q33" s="48">
        <f t="shared" ref="P33:R43" si="13">TREND(Q$22:Q$27,$M$22:$M$27,$M33)</f>
        <v>0</v>
      </c>
      <c r="R33" s="48">
        <f t="shared" si="13"/>
        <v>0</v>
      </c>
      <c r="S33" s="48">
        <f t="shared" ref="S33:S61" si="14">1-SUM(N33:R33)-T33</f>
        <v>0.48049736799836218</v>
      </c>
      <c r="T33" s="48">
        <f t="shared" ref="T33:T61" si="15">T32</f>
        <v>0</v>
      </c>
      <c r="U33" s="25">
        <f t="shared" ref="U33:U61" si="16">SUM(N33:T33)</f>
        <v>1</v>
      </c>
      <c r="V33" s="17"/>
      <c r="X33" s="23">
        <v>2022</v>
      </c>
      <c r="Y33" s="111">
        <f>(C33-(N33*(1-'Future Type Share'!$M23)))/'Future Type Share'!$M23</f>
        <v>0.41043767345063842</v>
      </c>
      <c r="Z33" s="111">
        <f>(D33-(O33*(1-'Future Type Share'!$M23)))/'Future Type Share'!$M23</f>
        <v>8.6724512697107015E-2</v>
      </c>
      <c r="AA33" s="111">
        <f>(E33-(P33*(1-'Future Type Share'!$M23)))/'Future Type Share'!$M23</f>
        <v>8.2541270635317548E-2</v>
      </c>
      <c r="AB33" s="111">
        <f>(F33-(Q33*(1-'Future Type Share'!$M23)))/'Future Type Share'!$M23</f>
        <v>9.3180726975920919E-2</v>
      </c>
      <c r="AC33" s="111">
        <f>(G33-(R33*(1-'Future Type Share'!$M23)))/'Future Type Share'!$M23</f>
        <v>7.5194254280633199E-2</v>
      </c>
      <c r="AD33" s="111">
        <f>(H33-(S33*(1-'Future Type Share'!$M23)))/'Future Type Share'!$M23</f>
        <v>0.13981241965556385</v>
      </c>
      <c r="AE33" s="111">
        <f>(I33-(T33*(1-'Future Type Share'!$M23)))/'Future Type Share'!$M23</f>
        <v>0.11210914230481898</v>
      </c>
      <c r="AF33" s="25">
        <f t="shared" si="3"/>
        <v>0.99999999999999989</v>
      </c>
    </row>
    <row r="34" spans="2:32">
      <c r="B34" s="23">
        <v>2023</v>
      </c>
      <c r="C34" s="111">
        <f t="shared" si="4"/>
        <v>0.30379693811486208</v>
      </c>
      <c r="D34" s="111">
        <f t="shared" si="5"/>
        <v>0.20116541549218336</v>
      </c>
      <c r="E34" s="17">
        <v>0.06</v>
      </c>
      <c r="F34" s="111">
        <f t="shared" si="6"/>
        <v>6.9243420481446716E-2</v>
      </c>
      <c r="G34" s="111">
        <f t="shared" si="7"/>
        <v>5.4659387020722171E-2</v>
      </c>
      <c r="H34" s="111">
        <f t="shared" si="8"/>
        <v>0.22953429684379856</v>
      </c>
      <c r="I34" s="111">
        <f t="shared" si="9"/>
        <v>8.1600542046987051E-2</v>
      </c>
      <c r="J34" s="25">
        <f t="shared" si="10"/>
        <v>0.99999999999999989</v>
      </c>
      <c r="M34" s="23">
        <v>2023</v>
      </c>
      <c r="N34" s="48">
        <f t="shared" si="11"/>
        <v>0</v>
      </c>
      <c r="O34" s="48">
        <f t="shared" si="12"/>
        <v>0.52252809573190273</v>
      </c>
      <c r="P34" s="48">
        <f t="shared" si="13"/>
        <v>0</v>
      </c>
      <c r="Q34" s="48">
        <f t="shared" si="13"/>
        <v>0</v>
      </c>
      <c r="R34" s="48">
        <f t="shared" si="13"/>
        <v>0</v>
      </c>
      <c r="S34" s="48">
        <f t="shared" si="14"/>
        <v>0.47747190426809727</v>
      </c>
      <c r="T34" s="48">
        <f t="shared" si="15"/>
        <v>0</v>
      </c>
      <c r="U34" s="25">
        <f t="shared" si="16"/>
        <v>1</v>
      </c>
      <c r="V34" s="17"/>
      <c r="X34" s="23">
        <v>2023</v>
      </c>
      <c r="Y34" s="111">
        <f>(C34-(N34*(1-'Future Type Share'!$M24)))/'Future Type Share'!$M24</f>
        <v>0.41553920906036784</v>
      </c>
      <c r="Z34" s="111">
        <f>(D34-(O34*(1-'Future Type Share'!$M24)))/'Future Type Share'!$M24</f>
        <v>8.2962131713386442E-2</v>
      </c>
      <c r="AA34" s="111">
        <f>(E34-(P34*(1-'Future Type Share'!$M24)))/'Future Type Share'!$M24</f>
        <v>8.2069137030589281E-2</v>
      </c>
      <c r="AB34" s="111">
        <f>(F34-(Q34*(1-'Future Type Share'!$M24)))/'Future Type Share'!$M24</f>
        <v>9.4712462732642722E-2</v>
      </c>
      <c r="AC34" s="111">
        <f>(G34-(R34*(1-'Future Type Share'!$M24)))/'Future Type Share'!$M24</f>
        <v>7.4764145390194353E-2</v>
      </c>
      <c r="AD34" s="111">
        <f>(H34-(S34*(1-'Future Type Share'!$M24)))/'Future Type Share'!$M24</f>
        <v>0.13833814628907687</v>
      </c>
      <c r="AE34" s="111">
        <f>(I34-(T34*(1-'Future Type Share'!$M24)))/'Future Type Share'!$M24</f>
        <v>0.11161476778374239</v>
      </c>
      <c r="AF34" s="25">
        <f t="shared" si="3"/>
        <v>0.99999999999999989</v>
      </c>
    </row>
    <row r="35" spans="2:32">
      <c r="B35" s="23">
        <v>2024</v>
      </c>
      <c r="C35" s="111">
        <f t="shared" si="4"/>
        <v>0.30924300014687844</v>
      </c>
      <c r="D35" s="111">
        <f t="shared" si="5"/>
        <v>0.19741854825173188</v>
      </c>
      <c r="E35" s="17">
        <v>0.06</v>
      </c>
      <c r="F35" s="111">
        <f t="shared" si="6"/>
        <v>7.0752923426578018E-2</v>
      </c>
      <c r="G35" s="111">
        <f t="shared" si="7"/>
        <v>5.4659387020722171E-2</v>
      </c>
      <c r="H35" s="111">
        <f t="shared" si="8"/>
        <v>0.22621821177550938</v>
      </c>
      <c r="I35" s="111">
        <f t="shared" si="9"/>
        <v>8.1707929378580124E-2</v>
      </c>
      <c r="J35" s="25">
        <f t="shared" si="10"/>
        <v>1</v>
      </c>
      <c r="M35" s="23">
        <v>2024</v>
      </c>
      <c r="N35" s="48">
        <f t="shared" si="11"/>
        <v>0</v>
      </c>
      <c r="O35" s="48">
        <f t="shared" si="12"/>
        <v>0.52555355946216764</v>
      </c>
      <c r="P35" s="48">
        <f t="shared" si="13"/>
        <v>0</v>
      </c>
      <c r="Q35" s="48">
        <f t="shared" si="13"/>
        <v>0</v>
      </c>
      <c r="R35" s="48">
        <f t="shared" si="13"/>
        <v>0</v>
      </c>
      <c r="S35" s="48">
        <f t="shared" si="14"/>
        <v>0.47444644053783236</v>
      </c>
      <c r="T35" s="48">
        <f t="shared" si="15"/>
        <v>0</v>
      </c>
      <c r="U35" s="25">
        <f t="shared" si="16"/>
        <v>1</v>
      </c>
      <c r="V35" s="17"/>
      <c r="X35" s="23">
        <v>2024</v>
      </c>
      <c r="Y35" s="111">
        <f>(C35-(N35*(1-'Future Type Share'!$M25)))/'Future Type Share'!$M25</f>
        <v>0.420582715333291</v>
      </c>
      <c r="Z35" s="111">
        <f>(D35-(O35*(1-'Future Type Share'!$M25)))/'Future Type Share'!$M25</f>
        <v>7.9276961624038578E-2</v>
      </c>
      <c r="AA35" s="111">
        <f>(E35-(P35*(1-'Future Type Share'!$M25)))/'Future Type Share'!$M25</f>
        <v>8.1602373887240232E-2</v>
      </c>
      <c r="AB35" s="111">
        <f>(F35-(Q35*(1-'Future Type Share'!$M25)))/'Future Type Share'!$M25</f>
        <v>9.6226775184514959E-2</v>
      </c>
      <c r="AC35" s="111">
        <f>(G35-(R35*(1-'Future Type Share'!$M25)))/'Future Type Share'!$M25</f>
        <v>7.4338928935205606E-2</v>
      </c>
      <c r="AD35" s="111">
        <f>(H35-(S35*(1-'Future Type Share'!$M25)))/'Future Type Share'!$M25</f>
        <v>0.13684622832399107</v>
      </c>
      <c r="AE35" s="111">
        <f>(I35-(T35*(1-'Future Type Share'!$M25)))/'Future Type Share'!$M25</f>
        <v>0.11112601671171859</v>
      </c>
      <c r="AF35" s="25">
        <f t="shared" si="3"/>
        <v>1</v>
      </c>
    </row>
    <row r="36" spans="2:32">
      <c r="B36" s="23">
        <v>2025</v>
      </c>
      <c r="C36" s="111">
        <f t="shared" si="4"/>
        <v>0.31468906217889248</v>
      </c>
      <c r="D36" s="111">
        <f t="shared" si="5"/>
        <v>0.19367168101128129</v>
      </c>
      <c r="E36" s="17">
        <v>0.06</v>
      </c>
      <c r="F36" s="111">
        <f t="shared" si="6"/>
        <v>7.2262426371709765E-2</v>
      </c>
      <c r="G36" s="111">
        <f t="shared" si="7"/>
        <v>5.4659387020722171E-2</v>
      </c>
      <c r="H36" s="111">
        <f t="shared" si="8"/>
        <v>0.22290212670722109</v>
      </c>
      <c r="I36" s="111">
        <f t="shared" si="9"/>
        <v>8.1815316710173197E-2</v>
      </c>
      <c r="J36" s="25">
        <f t="shared" si="10"/>
        <v>1</v>
      </c>
      <c r="M36" s="23">
        <v>2025</v>
      </c>
      <c r="N36" s="48">
        <f t="shared" si="11"/>
        <v>0</v>
      </c>
      <c r="O36" s="48">
        <f t="shared" si="12"/>
        <v>0.52857902319243255</v>
      </c>
      <c r="P36" s="48">
        <f t="shared" si="13"/>
        <v>0</v>
      </c>
      <c r="Q36" s="48">
        <f t="shared" si="13"/>
        <v>0</v>
      </c>
      <c r="R36" s="48">
        <f t="shared" si="13"/>
        <v>0</v>
      </c>
      <c r="S36" s="48">
        <f t="shared" si="14"/>
        <v>0.47142097680756745</v>
      </c>
      <c r="T36" s="48">
        <f t="shared" si="15"/>
        <v>0</v>
      </c>
      <c r="U36" s="25">
        <f t="shared" si="16"/>
        <v>1</v>
      </c>
      <c r="V36" s="17"/>
      <c r="X36" s="23">
        <v>2025</v>
      </c>
      <c r="Y36" s="111">
        <f>(C36-(N36*(1-'Future Type Share'!$M26)))/'Future Type Share'!$M26</f>
        <v>0.42556917678483153</v>
      </c>
      <c r="Z36" s="111">
        <f>(D36-(O36*(1-'Future Type Share'!$M26)))/'Future Type Share'!$M26</f>
        <v>7.5667692482736637E-2</v>
      </c>
      <c r="AA36" s="111">
        <f>(E36-(P36*(1-'Future Type Share'!$M26)))/'Future Type Share'!$M26</f>
        <v>8.1140890090976206E-2</v>
      </c>
      <c r="AB36" s="111">
        <f>(F36-(Q36*(1-'Future Type Share'!$M26)))/'Future Type Share'!$M26</f>
        <v>9.7723959932236051E-2</v>
      </c>
      <c r="AC36" s="111">
        <f>(G36-(R36*(1-'Future Type Share'!$M26)))/'Future Type Share'!$M26</f>
        <v>7.3918521911475812E-2</v>
      </c>
      <c r="AD36" s="111">
        <f>(H36-(S36*(1-'Future Type Share'!$M26)))/'Future Type Share'!$M26</f>
        <v>0.13533696511543419</v>
      </c>
      <c r="AE36" s="111">
        <f>(I36-(T36*(1-'Future Type Share'!$M26)))/'Future Type Share'!$M26</f>
        <v>0.11064279368230955</v>
      </c>
      <c r="AF36" s="25">
        <f t="shared" si="3"/>
        <v>1</v>
      </c>
    </row>
    <row r="37" spans="2:32">
      <c r="B37" s="23">
        <v>2026</v>
      </c>
      <c r="C37" s="111">
        <f t="shared" si="4"/>
        <v>0.32013512421090828</v>
      </c>
      <c r="D37" s="111">
        <f t="shared" si="5"/>
        <v>0.18992481377082981</v>
      </c>
      <c r="E37" s="17">
        <v>0.06</v>
      </c>
      <c r="F37" s="111">
        <f t="shared" si="6"/>
        <v>7.3771929316841511E-2</v>
      </c>
      <c r="G37" s="111">
        <f t="shared" si="7"/>
        <v>5.4659387020722171E-2</v>
      </c>
      <c r="H37" s="111">
        <f t="shared" si="8"/>
        <v>0.21958604163893192</v>
      </c>
      <c r="I37" s="111">
        <f t="shared" si="9"/>
        <v>8.192270404176627E-2</v>
      </c>
      <c r="J37" s="25">
        <f t="shared" si="10"/>
        <v>1</v>
      </c>
      <c r="M37" s="23">
        <v>2026</v>
      </c>
      <c r="N37" s="48">
        <f t="shared" si="11"/>
        <v>0</v>
      </c>
      <c r="O37" s="48">
        <f t="shared" si="12"/>
        <v>0.53160448692269746</v>
      </c>
      <c r="P37" s="48">
        <f t="shared" si="13"/>
        <v>0</v>
      </c>
      <c r="Q37" s="48">
        <f t="shared" si="13"/>
        <v>0</v>
      </c>
      <c r="R37" s="48">
        <f t="shared" si="13"/>
        <v>0</v>
      </c>
      <c r="S37" s="48">
        <f t="shared" si="14"/>
        <v>0.46839551307730254</v>
      </c>
      <c r="T37" s="48">
        <f t="shared" si="15"/>
        <v>0</v>
      </c>
      <c r="U37" s="25">
        <f t="shared" si="16"/>
        <v>1</v>
      </c>
      <c r="V37" s="17"/>
      <c r="X37" s="23">
        <v>2026</v>
      </c>
      <c r="Y37" s="111">
        <f>(C37-(N37*(1-'Future Type Share'!$M27)))/'Future Type Share'!$M27</f>
        <v>0.43049955578484023</v>
      </c>
      <c r="Z37" s="111">
        <f>(D37-(O37*(1-'Future Type Share'!$M27)))/'Future Type Share'!$M27</f>
        <v>7.2133043808938743E-2</v>
      </c>
      <c r="AA37" s="111">
        <f>(E37-(P37*(1-'Future Type Share'!$M27)))/'Future Type Share'!$M27</f>
        <v>8.0684596577017154E-2</v>
      </c>
      <c r="AB37" s="111">
        <f>(F37-(Q37*(1-'Future Type Share'!$M27)))/'Future Type Share'!$M27</f>
        <v>9.9204305927293041E-2</v>
      </c>
      <c r="AC37" s="111">
        <f>(G37-(R37*(1-'Future Type Share'!$M27)))/'Future Type Share'!$M27</f>
        <v>7.3502843181900271E-2</v>
      </c>
      <c r="AD37" s="111">
        <f>(H37-(S37*(1-'Future Type Share'!$M27)))/'Future Type Share'!$M27</f>
        <v>0.13381064928487241</v>
      </c>
      <c r="AE37" s="111">
        <f>(I37-(T37*(1-'Future Type Share'!$M27)))/'Future Type Share'!$M27</f>
        <v>0.11016500543513807</v>
      </c>
      <c r="AF37" s="25">
        <f t="shared" si="3"/>
        <v>0.99999999999999989</v>
      </c>
    </row>
    <row r="38" spans="2:32">
      <c r="B38" s="23">
        <v>2027</v>
      </c>
      <c r="C38" s="111">
        <f t="shared" si="4"/>
        <v>0.32558118624292454</v>
      </c>
      <c r="D38" s="111">
        <f t="shared" si="5"/>
        <v>0.18617794653037834</v>
      </c>
      <c r="E38" s="17">
        <v>0.06</v>
      </c>
      <c r="F38" s="111">
        <f t="shared" si="6"/>
        <v>7.5281432261972814E-2</v>
      </c>
      <c r="G38" s="111">
        <f t="shared" si="7"/>
        <v>5.4659387020722171E-2</v>
      </c>
      <c r="H38" s="111">
        <f t="shared" si="8"/>
        <v>0.21626995657064274</v>
      </c>
      <c r="I38" s="111">
        <f t="shared" si="9"/>
        <v>8.2030091373359343E-2</v>
      </c>
      <c r="J38" s="25">
        <f t="shared" si="10"/>
        <v>1</v>
      </c>
      <c r="M38" s="23">
        <v>2027</v>
      </c>
      <c r="N38" s="48">
        <f t="shared" si="11"/>
        <v>0</v>
      </c>
      <c r="O38" s="48">
        <f t="shared" si="12"/>
        <v>0.53462995065296237</v>
      </c>
      <c r="P38" s="48">
        <f t="shared" si="13"/>
        <v>0</v>
      </c>
      <c r="Q38" s="48">
        <f t="shared" si="13"/>
        <v>0</v>
      </c>
      <c r="R38" s="48">
        <f t="shared" si="13"/>
        <v>0</v>
      </c>
      <c r="S38" s="48">
        <f t="shared" si="14"/>
        <v>0.46537004934703763</v>
      </c>
      <c r="T38" s="48">
        <f t="shared" si="15"/>
        <v>0</v>
      </c>
      <c r="U38" s="25">
        <f t="shared" si="16"/>
        <v>1</v>
      </c>
      <c r="V38" s="17"/>
      <c r="X38" s="23">
        <v>2027</v>
      </c>
      <c r="Y38" s="111">
        <f>(C38-(N38*(1-'Future Type Share'!$M28)))/'Future Type Share'!$M28</f>
        <v>0.43537479317677746</v>
      </c>
      <c r="Z38" s="111">
        <f>(D38-(O38*(1-'Future Type Share'!$M28)))/'Future Type Share'!$M28</f>
        <v>6.867176376402169E-2</v>
      </c>
      <c r="AA38" s="111">
        <f>(E38-(P38*(1-'Future Type Share'!$M28)))/'Future Type Share'!$M28</f>
        <v>8.0233406272793614E-2</v>
      </c>
      <c r="AB38" s="111">
        <f>(F38-(Q38*(1-'Future Type Share'!$M28)))/'Future Type Share'!$M28</f>
        <v>0.10066809565787763</v>
      </c>
      <c r="AC38" s="111">
        <f>(G38-(R38*(1-'Future Type Share'!$M28)))/'Future Type Share'!$M28</f>
        <v>7.3091813424257732E-2</v>
      </c>
      <c r="AD38" s="111">
        <f>(H38-(S38*(1-'Future Type Share'!$M28)))/'Future Type Share'!$M28</f>
        <v>0.1322675669083864</v>
      </c>
      <c r="AE38" s="111">
        <f>(I38-(T38*(1-'Future Type Share'!$M28)))/'Future Type Share'!$M28</f>
        <v>0.10969256079588538</v>
      </c>
      <c r="AF38" s="25">
        <f t="shared" si="3"/>
        <v>0.99999999999999989</v>
      </c>
    </row>
    <row r="39" spans="2:32">
      <c r="B39" s="23">
        <v>2028</v>
      </c>
      <c r="C39" s="111">
        <f t="shared" si="4"/>
        <v>0.33102724827493946</v>
      </c>
      <c r="D39" s="111">
        <f t="shared" si="5"/>
        <v>0.18243107928992686</v>
      </c>
      <c r="E39" s="17">
        <v>0.06</v>
      </c>
      <c r="F39" s="111">
        <f t="shared" si="6"/>
        <v>7.679093520710456E-2</v>
      </c>
      <c r="G39" s="111">
        <f t="shared" si="7"/>
        <v>5.4659387020722171E-2</v>
      </c>
      <c r="H39" s="111">
        <f t="shared" si="8"/>
        <v>0.21295387150235445</v>
      </c>
      <c r="I39" s="111">
        <f t="shared" si="9"/>
        <v>8.2137478704952416E-2</v>
      </c>
      <c r="J39" s="25">
        <f t="shared" si="10"/>
        <v>1</v>
      </c>
      <c r="M39" s="23">
        <v>2028</v>
      </c>
      <c r="N39" s="48">
        <f t="shared" si="11"/>
        <v>0</v>
      </c>
      <c r="O39" s="48">
        <f t="shared" si="12"/>
        <v>0.53765541438322728</v>
      </c>
      <c r="P39" s="48">
        <f t="shared" si="13"/>
        <v>0</v>
      </c>
      <c r="Q39" s="48">
        <f t="shared" si="13"/>
        <v>0</v>
      </c>
      <c r="R39" s="48">
        <f t="shared" si="13"/>
        <v>0</v>
      </c>
      <c r="S39" s="48">
        <f t="shared" si="14"/>
        <v>0.46234458561677272</v>
      </c>
      <c r="T39" s="48">
        <f t="shared" si="15"/>
        <v>0</v>
      </c>
      <c r="U39" s="25">
        <f t="shared" si="16"/>
        <v>1</v>
      </c>
      <c r="V39" s="17"/>
      <c r="X39" s="23">
        <v>2028</v>
      </c>
      <c r="Y39" s="111">
        <f>(C39-(N39*(1-'Future Type Share'!$M29)))/'Future Type Share'!$M29</f>
        <v>0.44019580887624943</v>
      </c>
      <c r="Z39" s="111">
        <f>(D39-(O39*(1-'Future Type Share'!$M29)))/'Future Type Share'!$M29</f>
        <v>6.5282628354902103E-2</v>
      </c>
      <c r="AA39" s="111">
        <f>(E39-(P39*(1-'Future Type Share'!$M29)))/'Future Type Share'!$M29</f>
        <v>7.978723404255321E-2</v>
      </c>
      <c r="AB39" s="111">
        <f>(F39-(Q39*(1-'Future Type Share'!$M29)))/'Future Type Share'!$M29</f>
        <v>0.10211560532859652</v>
      </c>
      <c r="AC39" s="111">
        <f>(G39-(R39*(1-'Future Type Share'!$M29)))/'Future Type Share'!$M29</f>
        <v>7.2685355080747582E-2</v>
      </c>
      <c r="AD39" s="111">
        <f>(H39-(S39*(1-'Future Type Share'!$M29)))/'Future Type Share'!$M29</f>
        <v>0.13070799769866323</v>
      </c>
      <c r="AE39" s="111">
        <f>(I39-(T39*(1-'Future Type Share'!$M29)))/'Future Type Share'!$M29</f>
        <v>0.10922537061828781</v>
      </c>
      <c r="AF39" s="25">
        <f t="shared" si="3"/>
        <v>0.99999999999999989</v>
      </c>
    </row>
    <row r="40" spans="2:32">
      <c r="B40" s="23">
        <v>2029</v>
      </c>
      <c r="C40" s="111">
        <f t="shared" si="4"/>
        <v>0.33647331030695449</v>
      </c>
      <c r="D40" s="111">
        <f t="shared" si="5"/>
        <v>0.17868421204947627</v>
      </c>
      <c r="E40" s="17">
        <v>0.06</v>
      </c>
      <c r="F40" s="111">
        <f t="shared" si="6"/>
        <v>7.8300438152236307E-2</v>
      </c>
      <c r="G40" s="111">
        <f t="shared" si="7"/>
        <v>5.4659387020722171E-2</v>
      </c>
      <c r="H40" s="111">
        <f t="shared" si="8"/>
        <v>0.20963778643406528</v>
      </c>
      <c r="I40" s="111">
        <f t="shared" si="9"/>
        <v>8.2244866036545489E-2</v>
      </c>
      <c r="J40" s="25">
        <f t="shared" si="10"/>
        <v>0.99999999999999989</v>
      </c>
      <c r="M40" s="23">
        <v>2029</v>
      </c>
      <c r="N40" s="48">
        <f t="shared" si="11"/>
        <v>0</v>
      </c>
      <c r="O40" s="48">
        <f t="shared" si="12"/>
        <v>0.54068087811349219</v>
      </c>
      <c r="P40" s="48">
        <f t="shared" si="13"/>
        <v>0</v>
      </c>
      <c r="Q40" s="48">
        <f t="shared" si="13"/>
        <v>0</v>
      </c>
      <c r="R40" s="48">
        <f t="shared" si="13"/>
        <v>0</v>
      </c>
      <c r="S40" s="48">
        <f t="shared" si="14"/>
        <v>0.45931912188650781</v>
      </c>
      <c r="T40" s="48">
        <f t="shared" si="15"/>
        <v>0</v>
      </c>
      <c r="U40" s="25">
        <f t="shared" si="16"/>
        <v>1</v>
      </c>
      <c r="V40" s="17"/>
      <c r="X40" s="23">
        <v>2029</v>
      </c>
      <c r="Y40" s="111">
        <f>(C40-(N40*(1-'Future Type Share'!$M30)))/'Future Type Share'!$M30</f>
        <v>0.44496350244968741</v>
      </c>
      <c r="Z40" s="111">
        <f>(D40-(O40*(1-'Future Type Share'!$M30)))/'Future Type Share'!$M30</f>
        <v>6.1964440664084193E-2</v>
      </c>
      <c r="AA40" s="111">
        <f>(E40-(P40*(1-'Future Type Share'!$M30)))/'Future Type Share'!$M30</f>
        <v>7.9345996633806218E-2</v>
      </c>
      <c r="AB40" s="111">
        <f>(F40-(Q40*(1-'Future Type Share'!$M30)))/'Future Type Share'!$M30</f>
        <v>0.1035471050342149</v>
      </c>
      <c r="AC40" s="111">
        <f>(G40-(R40*(1-'Future Type Share'!$M30)))/'Future Type Share'!$M30</f>
        <v>7.2283392309202207E-2</v>
      </c>
      <c r="AD40" s="111">
        <f>(H40-(S40*(1-'Future Type Share'!$M30)))/'Future Type Share'!$M30</f>
        <v>0.12913221518094536</v>
      </c>
      <c r="AE40" s="111">
        <f>(I40-(T40*(1-'Future Type Share'!$M30)))/'Future Type Share'!$M30</f>
        <v>0.10876334772805969</v>
      </c>
      <c r="AF40" s="25">
        <f t="shared" si="3"/>
        <v>1</v>
      </c>
    </row>
    <row r="41" spans="2:32">
      <c r="B41" s="23">
        <v>2030</v>
      </c>
      <c r="C41" s="111">
        <f t="shared" si="4"/>
        <v>0.3419193723389703</v>
      </c>
      <c r="D41" s="111">
        <f t="shared" si="5"/>
        <v>0.17493734480902479</v>
      </c>
      <c r="E41" s="17">
        <v>0.06</v>
      </c>
      <c r="F41" s="111">
        <f t="shared" si="6"/>
        <v>7.9809941097368053E-2</v>
      </c>
      <c r="G41" s="111">
        <f t="shared" si="7"/>
        <v>5.4659387020722171E-2</v>
      </c>
      <c r="H41" s="111">
        <f t="shared" si="8"/>
        <v>0.2063217013657761</v>
      </c>
      <c r="I41" s="111">
        <f t="shared" si="9"/>
        <v>8.2352253368138562E-2</v>
      </c>
      <c r="J41" s="25">
        <f t="shared" si="10"/>
        <v>0.99999999999999989</v>
      </c>
      <c r="M41" s="23">
        <v>2030</v>
      </c>
      <c r="N41" s="48">
        <f t="shared" si="11"/>
        <v>0</v>
      </c>
      <c r="O41" s="48">
        <f t="shared" si="12"/>
        <v>0.5437063418437571</v>
      </c>
      <c r="P41" s="48">
        <f t="shared" si="13"/>
        <v>0</v>
      </c>
      <c r="Q41" s="48">
        <f t="shared" si="13"/>
        <v>0</v>
      </c>
      <c r="R41" s="48">
        <f t="shared" si="13"/>
        <v>0</v>
      </c>
      <c r="S41" s="48">
        <f t="shared" si="14"/>
        <v>0.4562936581562429</v>
      </c>
      <c r="T41" s="48">
        <f t="shared" si="15"/>
        <v>0</v>
      </c>
      <c r="U41" s="25">
        <f t="shared" si="16"/>
        <v>1</v>
      </c>
      <c r="V41" s="17"/>
      <c r="X41" s="23">
        <v>2030</v>
      </c>
      <c r="Y41" s="111">
        <f>(C41-(N41*(1-'Future Type Share'!$M31)))/'Future Type Share'!$M31</f>
        <v>0.44967875367392079</v>
      </c>
      <c r="Z41" s="111">
        <f>(D41-(O41*(1-'Future Type Share'!$M31)))/'Future Type Share'!$M31</f>
        <v>5.8716030105108681E-2</v>
      </c>
      <c r="AA41" s="111">
        <f>(E41-(P41*(1-'Future Type Share'!$M31)))/'Future Type Share'!$M31</f>
        <v>7.8909612625538014E-2</v>
      </c>
      <c r="AB41" s="111">
        <f>(F41-(Q41*(1-'Future Type Share'!$M31)))/'Future Type Share'!$M31</f>
        <v>0.104962858927672</v>
      </c>
      <c r="AC41" s="111">
        <f>(G41-(R41*(1-'Future Type Share'!$M31)))/'Future Type Share'!$M31</f>
        <v>7.1885850935909115E-2</v>
      </c>
      <c r="AD41" s="111">
        <f>(H41-(S41*(1-'Future Type Share'!$M31)))/'Future Type Share'!$M31</f>
        <v>0.12754048686318517</v>
      </c>
      <c r="AE41" s="111">
        <f>(I41-(T41*(1-'Future Type Share'!$M31)))/'Future Type Share'!$M31</f>
        <v>0.10830640686866622</v>
      </c>
      <c r="AF41" s="25">
        <f t="shared" si="3"/>
        <v>1</v>
      </c>
    </row>
    <row r="42" spans="2:32">
      <c r="B42" s="23">
        <v>2031</v>
      </c>
      <c r="C42" s="111">
        <f t="shared" si="4"/>
        <v>0.34736543437098566</v>
      </c>
      <c r="D42" s="111">
        <f t="shared" si="5"/>
        <v>0.17119047756857331</v>
      </c>
      <c r="E42" s="17">
        <v>0.06</v>
      </c>
      <c r="F42" s="111">
        <f t="shared" si="6"/>
        <v>8.1319444042499356E-2</v>
      </c>
      <c r="G42" s="111">
        <f t="shared" si="7"/>
        <v>5.4659387020722171E-2</v>
      </c>
      <c r="H42" s="111">
        <f t="shared" si="8"/>
        <v>0.20300561629748781</v>
      </c>
      <c r="I42" s="111">
        <f t="shared" si="9"/>
        <v>8.2459640699731634E-2</v>
      </c>
      <c r="J42" s="25">
        <f t="shared" si="10"/>
        <v>0.99999999999999989</v>
      </c>
      <c r="M42" s="23">
        <v>2031</v>
      </c>
      <c r="N42" s="48">
        <f t="shared" si="11"/>
        <v>0</v>
      </c>
      <c r="O42" s="48">
        <f t="shared" si="12"/>
        <v>0.54673180557402201</v>
      </c>
      <c r="P42" s="48">
        <f t="shared" si="13"/>
        <v>0</v>
      </c>
      <c r="Q42" s="48">
        <f t="shared" si="13"/>
        <v>0</v>
      </c>
      <c r="R42" s="48">
        <f t="shared" si="13"/>
        <v>0</v>
      </c>
      <c r="S42" s="48">
        <f t="shared" si="14"/>
        <v>0.45326819442597799</v>
      </c>
      <c r="T42" s="48">
        <f t="shared" si="15"/>
        <v>0</v>
      </c>
      <c r="U42" s="25">
        <f t="shared" si="16"/>
        <v>1</v>
      </c>
      <c r="V42" s="17"/>
      <c r="X42" s="23">
        <v>2031</v>
      </c>
      <c r="Y42" s="111">
        <f>(C42-(N42*(1-'Future Type Share'!$M32)))/'Future Type Share'!$M32</f>
        <v>0.45434242307738903</v>
      </c>
      <c r="Z42" s="111">
        <f>(D42-(O42*(1-'Future Type Share'!$M32)))/'Future Type Share'!$M32</f>
        <v>5.5536251702448275E-2</v>
      </c>
      <c r="AA42" s="111">
        <f>(E42-(P42*(1-'Future Type Share'!$M32)))/'Future Type Share'!$M32</f>
        <v>7.8478002378121275E-2</v>
      </c>
      <c r="AB42" s="111">
        <f>(F42-(Q42*(1-'Future Type Share'!$M32)))/'Future Type Share'!$M32</f>
        <v>0.1063631253825794</v>
      </c>
      <c r="AC42" s="111">
        <f>(G42-(R42*(1-'Future Type Share'!$M32)))/'Future Type Share'!$M32</f>
        <v>7.1492658409981424E-2</v>
      </c>
      <c r="AD42" s="111">
        <f>(H42-(S42*(1-'Future Type Share'!$M32)))/'Future Type Share'!$M32</f>
        <v>0.12593307440060444</v>
      </c>
      <c r="AE42" s="111">
        <f>(I42-(T42*(1-'Future Type Share'!$M32)))/'Future Type Share'!$M32</f>
        <v>0.10785446464887609</v>
      </c>
      <c r="AF42" s="25">
        <f t="shared" si="3"/>
        <v>0.99999999999999989</v>
      </c>
    </row>
    <row r="43" spans="2:32">
      <c r="B43" s="23">
        <v>2032</v>
      </c>
      <c r="C43" s="111">
        <f t="shared" si="4"/>
        <v>0.35281149640300069</v>
      </c>
      <c r="D43" s="111">
        <f t="shared" si="5"/>
        <v>0.16744361032812272</v>
      </c>
      <c r="E43" s="17">
        <v>0.06</v>
      </c>
      <c r="F43" s="111">
        <f t="shared" si="6"/>
        <v>8.2828946987631102E-2</v>
      </c>
      <c r="G43" s="111">
        <f t="shared" si="7"/>
        <v>5.4659387020722171E-2</v>
      </c>
      <c r="H43" s="111">
        <f t="shared" si="8"/>
        <v>0.19968953122919864</v>
      </c>
      <c r="I43" s="111">
        <f t="shared" si="9"/>
        <v>8.2567028031324707E-2</v>
      </c>
      <c r="J43" s="25">
        <f t="shared" si="10"/>
        <v>1</v>
      </c>
      <c r="M43" s="23">
        <v>2032</v>
      </c>
      <c r="N43" s="48">
        <f t="shared" si="11"/>
        <v>0</v>
      </c>
      <c r="O43" s="48">
        <f t="shared" si="12"/>
        <v>0.54975726930428692</v>
      </c>
      <c r="P43" s="48">
        <f t="shared" si="13"/>
        <v>0</v>
      </c>
      <c r="Q43" s="48">
        <f t="shared" si="13"/>
        <v>0</v>
      </c>
      <c r="R43" s="48">
        <f t="shared" si="13"/>
        <v>0</v>
      </c>
      <c r="S43" s="48">
        <f t="shared" si="14"/>
        <v>0.45024273069571308</v>
      </c>
      <c r="T43" s="48">
        <f t="shared" si="15"/>
        <v>0</v>
      </c>
      <c r="U43" s="25">
        <f t="shared" si="16"/>
        <v>1</v>
      </c>
      <c r="V43" s="17"/>
      <c r="X43" s="23">
        <v>2032</v>
      </c>
      <c r="Y43" s="111">
        <f>(C43-(N43*(1-'Future Type Share'!$M33)))/'Future Type Share'!$M33</f>
        <v>0.45895535246369518</v>
      </c>
      <c r="Z43" s="111">
        <f>(D43-(O43*(1-'Future Type Share'!$M33)))/'Future Type Share'!$M33</f>
        <v>5.2423985394896531E-2</v>
      </c>
      <c r="AA43" s="111">
        <f>(E43-(P43*(1-'Future Type Share'!$M33)))/'Future Type Share'!$M33</f>
        <v>7.8051087984862794E-2</v>
      </c>
      <c r="AB43" s="111">
        <f>(F43-(Q43*(1-'Future Type Share'!$M33)))/'Future Type Share'!$M33</f>
        <v>0.10774815715041886</v>
      </c>
      <c r="AC43" s="111">
        <f>(G43-(R43*(1-'Future Type Share'!$M33)))/'Future Type Share'!$M33</f>
        <v>7.1103743759217561E-2</v>
      </c>
      <c r="AD43" s="111">
        <f>(H43-(S43*(1-'Future Type Share'!$M33)))/'Future Type Share'!$M33</f>
        <v>0.12431023375488311</v>
      </c>
      <c r="AE43" s="111">
        <f>(I43-(T43*(1-'Future Type Share'!$M33)))/'Future Type Share'!$M33</f>
        <v>0.10740743949202597</v>
      </c>
      <c r="AF43" s="25">
        <f t="shared" si="3"/>
        <v>1</v>
      </c>
    </row>
    <row r="44" spans="2:32">
      <c r="B44" s="23">
        <v>2033</v>
      </c>
      <c r="C44" s="111">
        <f t="shared" si="4"/>
        <v>0.35825755843501561</v>
      </c>
      <c r="D44" s="111">
        <f t="shared" si="5"/>
        <v>0.16369674308767124</v>
      </c>
      <c r="E44" s="17">
        <v>0.06</v>
      </c>
      <c r="F44" s="111">
        <f t="shared" si="6"/>
        <v>8.4338449932762849E-2</v>
      </c>
      <c r="G44" s="111">
        <f t="shared" si="7"/>
        <v>5.4659387020722171E-2</v>
      </c>
      <c r="H44" s="111">
        <f t="shared" si="8"/>
        <v>0.19637344616091035</v>
      </c>
      <c r="I44" s="111">
        <f t="shared" si="9"/>
        <v>8.267441536291778E-2</v>
      </c>
      <c r="J44" s="25">
        <f t="shared" si="10"/>
        <v>1</v>
      </c>
      <c r="M44" s="23">
        <v>2033</v>
      </c>
      <c r="N44" s="48">
        <f t="shared" si="11"/>
        <v>0</v>
      </c>
      <c r="O44" s="48">
        <f t="shared" si="12"/>
        <v>0.55278273303455183</v>
      </c>
      <c r="P44" s="48">
        <f t="shared" ref="P44:R61" si="17">TREND(P$22:P$27,$M$22:$M$27,$M44)</f>
        <v>0</v>
      </c>
      <c r="Q44" s="48">
        <f t="shared" si="17"/>
        <v>0</v>
      </c>
      <c r="R44" s="48">
        <f t="shared" si="17"/>
        <v>0</v>
      </c>
      <c r="S44" s="48">
        <f t="shared" si="14"/>
        <v>0.44721726696544817</v>
      </c>
      <c r="T44" s="48">
        <f t="shared" si="15"/>
        <v>0</v>
      </c>
      <c r="U44" s="25">
        <f t="shared" si="16"/>
        <v>1</v>
      </c>
      <c r="V44" s="17"/>
      <c r="X44" s="23">
        <v>2033</v>
      </c>
      <c r="Y44" s="111">
        <f>(C44-(N44*(1-'Future Type Share'!$M34)))/'Future Type Share'!$M34</f>
        <v>0.46351836541815694</v>
      </c>
      <c r="Z44" s="111">
        <f>(D44-(O44*(1-'Future Type Share'!$M34)))/'Future Type Share'!$M34</f>
        <v>4.937813536157077E-2</v>
      </c>
      <c r="AA44" s="111">
        <f>(E44-(P44*(1-'Future Type Share'!$M34)))/'Future Type Share'!$M34</f>
        <v>7.7628793225123463E-2</v>
      </c>
      <c r="AB44" s="111">
        <f>(F44-(Q44*(1-'Future Type Share'!$M34)))/'Future Type Share'!$M34</f>
        <v>0.10911820151263125</v>
      </c>
      <c r="AC44" s="111">
        <f>(G44-(R44*(1-'Future Type Share'!$M34)))/'Future Type Share'!$M34</f>
        <v>7.071903754739399E-2</v>
      </c>
      <c r="AD44" s="111">
        <f>(H44-(S44*(1-'Future Type Share'!$M34)))/'Future Type Share'!$M34</f>
        <v>0.12267221534819164</v>
      </c>
      <c r="AE44" s="111">
        <f>(I44-(T44*(1-'Future Type Share'!$M34)))/'Future Type Share'!$M34</f>
        <v>0.10696525158693193</v>
      </c>
      <c r="AF44" s="25">
        <f t="shared" si="3"/>
        <v>1</v>
      </c>
    </row>
    <row r="45" spans="2:32">
      <c r="B45" s="23">
        <v>2034</v>
      </c>
      <c r="C45" s="111">
        <f t="shared" si="4"/>
        <v>0.36370362046703186</v>
      </c>
      <c r="D45" s="111">
        <f t="shared" si="5"/>
        <v>0.15994987584721976</v>
      </c>
      <c r="E45" s="17">
        <v>0.06</v>
      </c>
      <c r="F45" s="111">
        <f t="shared" si="6"/>
        <v>8.5847952877894151E-2</v>
      </c>
      <c r="G45" s="111">
        <f t="shared" si="7"/>
        <v>5.4659387020722171E-2</v>
      </c>
      <c r="H45" s="111">
        <f t="shared" si="8"/>
        <v>0.19305736109262117</v>
      </c>
      <c r="I45" s="111">
        <f t="shared" si="9"/>
        <v>8.2781802694510853E-2</v>
      </c>
      <c r="J45" s="25">
        <f t="shared" si="10"/>
        <v>1</v>
      </c>
      <c r="M45" s="23">
        <v>2034</v>
      </c>
      <c r="N45" s="48">
        <f t="shared" si="11"/>
        <v>0</v>
      </c>
      <c r="O45" s="48">
        <f t="shared" si="12"/>
        <v>0.55580819676481674</v>
      </c>
      <c r="P45" s="48">
        <f t="shared" si="17"/>
        <v>0</v>
      </c>
      <c r="Q45" s="48">
        <f t="shared" si="17"/>
        <v>0</v>
      </c>
      <c r="R45" s="48">
        <f t="shared" si="17"/>
        <v>0</v>
      </c>
      <c r="S45" s="48">
        <f t="shared" si="14"/>
        <v>0.44419180323518326</v>
      </c>
      <c r="T45" s="48">
        <f t="shared" si="15"/>
        <v>0</v>
      </c>
      <c r="U45" s="25">
        <f t="shared" si="16"/>
        <v>1</v>
      </c>
      <c r="V45" s="17"/>
      <c r="X45" s="23">
        <v>2034</v>
      </c>
      <c r="Y45" s="111">
        <f>(C45-(N45*(1-'Future Type Share'!$M35)))/'Future Type Share'!$M35</f>
        <v>0.46803226779800522</v>
      </c>
      <c r="Z45" s="111">
        <f>(D45-(O45*(1-'Future Type Share'!$M35)))/'Future Type Share'!$M35</f>
        <v>4.6397629369687519E-2</v>
      </c>
      <c r="AA45" s="111">
        <f>(E45-(P45*(1-'Future Type Share'!$M35)))/'Future Type Share'!$M35</f>
        <v>7.7211043518951764E-2</v>
      </c>
      <c r="AB45" s="111">
        <f>(F45-(Q45*(1-'Future Type Share'!$M35)))/'Future Type Share'!$M35</f>
        <v>0.11047350042780009</v>
      </c>
      <c r="AC45" s="111">
        <f>(G45-(R45*(1-'Future Type Share'!$M35)))/'Future Type Share'!$M35</f>
        <v>7.0338471832936775E-2</v>
      </c>
      <c r="AD45" s="111">
        <f>(H45-(S45*(1-'Future Type Share'!$M35)))/'Future Type Share'!$M35</f>
        <v>0.12101926421223269</v>
      </c>
      <c r="AE45" s="111">
        <f>(I45-(T45*(1-'Future Type Share'!$M35)))/'Future Type Share'!$M35</f>
        <v>0.10652782284038592</v>
      </c>
      <c r="AF45" s="25">
        <f t="shared" si="3"/>
        <v>1</v>
      </c>
    </row>
    <row r="46" spans="2:32">
      <c r="B46" s="23">
        <v>2035</v>
      </c>
      <c r="C46" s="111">
        <f t="shared" si="4"/>
        <v>0.36914968249904767</v>
      </c>
      <c r="D46" s="111">
        <f t="shared" si="5"/>
        <v>0.15620300860676828</v>
      </c>
      <c r="E46" s="17">
        <v>0.06</v>
      </c>
      <c r="F46" s="111">
        <f t="shared" si="6"/>
        <v>8.7357455823025898E-2</v>
      </c>
      <c r="G46" s="111">
        <f t="shared" si="7"/>
        <v>5.4659387020722171E-2</v>
      </c>
      <c r="H46" s="111">
        <f t="shared" si="8"/>
        <v>0.189741276024332</v>
      </c>
      <c r="I46" s="111">
        <f t="shared" si="9"/>
        <v>8.2889190026103926E-2</v>
      </c>
      <c r="J46" s="25">
        <f t="shared" si="10"/>
        <v>1</v>
      </c>
      <c r="M46" s="23">
        <v>2035</v>
      </c>
      <c r="N46" s="48">
        <f t="shared" si="11"/>
        <v>0</v>
      </c>
      <c r="O46" s="48">
        <f t="shared" si="12"/>
        <v>0.55883366049508165</v>
      </c>
      <c r="P46" s="48">
        <f t="shared" si="17"/>
        <v>0</v>
      </c>
      <c r="Q46" s="48">
        <f t="shared" si="17"/>
        <v>0</v>
      </c>
      <c r="R46" s="48">
        <f t="shared" si="17"/>
        <v>0</v>
      </c>
      <c r="S46" s="48">
        <f t="shared" si="14"/>
        <v>0.44116633950491835</v>
      </c>
      <c r="T46" s="48">
        <f t="shared" si="15"/>
        <v>0</v>
      </c>
      <c r="U46" s="25">
        <f t="shared" si="16"/>
        <v>1</v>
      </c>
      <c r="V46" s="17"/>
      <c r="X46" s="23">
        <v>2035</v>
      </c>
      <c r="Y46" s="111">
        <f>(C46-(N46*(1-'Future Type Share'!$M36)))/'Future Type Share'!$M36</f>
        <v>0.47249784820683288</v>
      </c>
      <c r="Z46" s="111">
        <f>(D46-(O46*(1-'Future Type Share'!$M36)))/'Future Type Share'!$M36</f>
        <v>4.3481418143272936E-2</v>
      </c>
      <c r="AA46" s="111">
        <f>(E46-(P46*(1-'Future Type Share'!$M36)))/'Future Type Share'!$M36</f>
        <v>7.679776588317426E-2</v>
      </c>
      <c r="AB46" s="111">
        <f>(F46-(Q46*(1-'Future Type Share'!$M36)))/'Future Type Share'!$M36</f>
        <v>0.11181429067410802</v>
      </c>
      <c r="AC46" s="111">
        <f>(G46-(R46*(1-'Future Type Share'!$M36)))/'Future Type Share'!$M36</f>
        <v>6.9961980128920576E-2</v>
      </c>
      <c r="AD46" s="111">
        <f>(H46-(S46*(1-'Future Type Share'!$M36)))/'Future Type Share'!$M36</f>
        <v>0.11935162013251339</v>
      </c>
      <c r="AE46" s="111">
        <f>(I46-(T46*(1-'Future Type Share'!$M36)))/'Future Type Share'!$M36</f>
        <v>0.10609507683117787</v>
      </c>
      <c r="AF46" s="25">
        <f t="shared" si="3"/>
        <v>0.99999999999999989</v>
      </c>
    </row>
    <row r="47" spans="2:32">
      <c r="B47" s="23">
        <v>2036</v>
      </c>
      <c r="C47" s="111">
        <f t="shared" si="4"/>
        <v>0.3745957445310617</v>
      </c>
      <c r="D47" s="111">
        <f t="shared" si="5"/>
        <v>0.15245614136631769</v>
      </c>
      <c r="E47" s="17">
        <v>0.06</v>
      </c>
      <c r="F47" s="111">
        <f t="shared" si="6"/>
        <v>8.8866958768157644E-2</v>
      </c>
      <c r="G47" s="111">
        <f t="shared" si="7"/>
        <v>5.4659387020722171E-2</v>
      </c>
      <c r="H47" s="111">
        <f t="shared" si="8"/>
        <v>0.18642519095604371</v>
      </c>
      <c r="I47" s="111">
        <f t="shared" si="9"/>
        <v>8.2996577357696999E-2</v>
      </c>
      <c r="J47" s="25">
        <f t="shared" si="10"/>
        <v>1</v>
      </c>
      <c r="M47" s="23">
        <v>2036</v>
      </c>
      <c r="N47" s="48">
        <f t="shared" si="11"/>
        <v>0</v>
      </c>
      <c r="O47" s="48">
        <f t="shared" si="12"/>
        <v>0.56185912422534656</v>
      </c>
      <c r="P47" s="48">
        <f t="shared" si="17"/>
        <v>0</v>
      </c>
      <c r="Q47" s="48">
        <f t="shared" si="17"/>
        <v>0</v>
      </c>
      <c r="R47" s="48">
        <f t="shared" si="17"/>
        <v>0</v>
      </c>
      <c r="S47" s="48">
        <f t="shared" si="14"/>
        <v>0.43814087577465344</v>
      </c>
      <c r="T47" s="48">
        <f t="shared" si="15"/>
        <v>0</v>
      </c>
      <c r="U47" s="25">
        <f t="shared" si="16"/>
        <v>1</v>
      </c>
      <c r="V47" s="17"/>
      <c r="X47" s="23">
        <v>2036</v>
      </c>
      <c r="Y47" s="111">
        <f>(C47-(N47*(1-'Future Type Share'!$M37)))/'Future Type Share'!$M37</f>
        <v>0.4769158784538976</v>
      </c>
      <c r="Z47" s="111">
        <f>(D47-(O47*(1-'Future Type Share'!$M37)))/'Future Type Share'!$M37</f>
        <v>4.0628474752046319E-2</v>
      </c>
      <c r="AA47" s="111">
        <f>(E47-(P47*(1-'Future Type Share'!$M37)))/'Future Type Share'!$M37</f>
        <v>7.6388888888888826E-2</v>
      </c>
      <c r="AB47" s="111">
        <f>(F47-(Q47*(1-'Future Type Share'!$M37)))/'Future Type Share'!$M37</f>
        <v>0.11314080398723765</v>
      </c>
      <c r="AC47" s="111">
        <f>(G47-(R47*(1-'Future Type Share'!$M37)))/'Future Type Share'!$M37</f>
        <v>6.9589497364345304E-2</v>
      </c>
      <c r="AD47" s="111">
        <f>(H47-(S47*(1-'Future Type Share'!$M37)))/'Future Type Share'!$M37</f>
        <v>0.11766951778799778</v>
      </c>
      <c r="AE47" s="111">
        <f>(I47-(T47*(1-'Future Type Share'!$M37)))/'Future Type Share'!$M37</f>
        <v>0.10566693876558637</v>
      </c>
      <c r="AF47" s="25">
        <f t="shared" si="3"/>
        <v>1</v>
      </c>
    </row>
    <row r="48" spans="2:32">
      <c r="B48" s="23">
        <v>2037</v>
      </c>
      <c r="C48" s="111">
        <f t="shared" si="4"/>
        <v>0.38004180656307807</v>
      </c>
      <c r="D48" s="111">
        <f t="shared" si="5"/>
        <v>0.14870927412586621</v>
      </c>
      <c r="E48" s="17">
        <v>0.06</v>
      </c>
      <c r="F48" s="111">
        <f t="shared" si="6"/>
        <v>9.0376461713288947E-2</v>
      </c>
      <c r="G48" s="111">
        <f t="shared" si="7"/>
        <v>5.4659387020722171E-2</v>
      </c>
      <c r="H48" s="111">
        <f t="shared" si="8"/>
        <v>0.18310910588775453</v>
      </c>
      <c r="I48" s="111">
        <f t="shared" si="9"/>
        <v>8.3103964689290072E-2</v>
      </c>
      <c r="J48" s="25">
        <f t="shared" si="10"/>
        <v>0.99999999999999989</v>
      </c>
      <c r="M48" s="23">
        <v>2037</v>
      </c>
      <c r="N48" s="48">
        <f t="shared" si="11"/>
        <v>0</v>
      </c>
      <c r="O48" s="48">
        <f t="shared" si="12"/>
        <v>0.56488458795561147</v>
      </c>
      <c r="P48" s="48">
        <f t="shared" si="17"/>
        <v>0</v>
      </c>
      <c r="Q48" s="48">
        <f t="shared" si="17"/>
        <v>0</v>
      </c>
      <c r="R48" s="48">
        <f t="shared" si="17"/>
        <v>0</v>
      </c>
      <c r="S48" s="48">
        <f t="shared" si="14"/>
        <v>0.43511541204438853</v>
      </c>
      <c r="T48" s="48">
        <f t="shared" si="15"/>
        <v>0</v>
      </c>
      <c r="U48" s="25">
        <f t="shared" si="16"/>
        <v>1</v>
      </c>
      <c r="V48" s="17"/>
      <c r="X48" s="23">
        <v>2037</v>
      </c>
      <c r="Y48" s="111">
        <f>(C48-(N48*(1-'Future Type Share'!$M38)))/'Future Type Share'!$M38</f>
        <v>0.48128711399883201</v>
      </c>
      <c r="Z48" s="111">
        <f>(D48-(O48*(1-'Future Type Share'!$M38)))/'Future Type Share'!$M38</f>
        <v>3.7837794019715341E-2</v>
      </c>
      <c r="AA48" s="111">
        <f>(E48-(P48*(1-'Future Type Share'!$M38)))/'Future Type Share'!$M38</f>
        <v>7.5984342620308468E-2</v>
      </c>
      <c r="AB48" s="111">
        <f>(F48-(Q48*(1-'Future Type Share'!$M38)))/'Future Type Share'!$M38</f>
        <v>0.11445326719389563</v>
      </c>
      <c r="AC48" s="111">
        <f>(G48-(R48*(1-'Future Type Share'!$M38)))/'Future Type Share'!$M38</f>
        <v>6.9220959846643254E-2</v>
      </c>
      <c r="AD48" s="111">
        <f>(H48-(S48*(1-'Future Type Share'!$M38)))/'Future Type Share'!$M38</f>
        <v>0.11597318688632137</v>
      </c>
      <c r="AE48" s="111">
        <f>(I48-(T48*(1-'Future Type Share'!$M38)))/'Future Type Share'!$M38</f>
        <v>0.10524333543428389</v>
      </c>
      <c r="AF48" s="25">
        <f t="shared" si="3"/>
        <v>1</v>
      </c>
    </row>
    <row r="49" spans="2:43">
      <c r="B49" s="23">
        <v>2038</v>
      </c>
      <c r="C49" s="111">
        <f t="shared" si="4"/>
        <v>0.38548786859509387</v>
      </c>
      <c r="D49" s="111">
        <f t="shared" si="5"/>
        <v>0.14496240688541473</v>
      </c>
      <c r="E49" s="17">
        <v>0.06</v>
      </c>
      <c r="F49" s="111">
        <f t="shared" si="6"/>
        <v>9.1885964658420693E-2</v>
      </c>
      <c r="G49" s="111">
        <f t="shared" si="7"/>
        <v>5.4659387020722171E-2</v>
      </c>
      <c r="H49" s="111">
        <f t="shared" si="8"/>
        <v>0.17979302081946535</v>
      </c>
      <c r="I49" s="111">
        <f t="shared" si="9"/>
        <v>8.3211352020883145E-2</v>
      </c>
      <c r="J49" s="25">
        <f t="shared" si="10"/>
        <v>0.99999999999999989</v>
      </c>
      <c r="M49" s="23">
        <v>2038</v>
      </c>
      <c r="N49" s="48">
        <f t="shared" si="11"/>
        <v>0</v>
      </c>
      <c r="O49" s="48">
        <f t="shared" si="12"/>
        <v>0.56791005168587638</v>
      </c>
      <c r="P49" s="48">
        <f t="shared" si="17"/>
        <v>0</v>
      </c>
      <c r="Q49" s="48">
        <f t="shared" si="17"/>
        <v>0</v>
      </c>
      <c r="R49" s="48">
        <f t="shared" si="17"/>
        <v>0</v>
      </c>
      <c r="S49" s="48">
        <f t="shared" si="14"/>
        <v>0.43208994831412362</v>
      </c>
      <c r="T49" s="48">
        <f t="shared" si="15"/>
        <v>0</v>
      </c>
      <c r="U49" s="25">
        <f t="shared" si="16"/>
        <v>1</v>
      </c>
      <c r="V49" s="17"/>
      <c r="X49" s="23">
        <v>2038</v>
      </c>
      <c r="Y49" s="111">
        <f>(C49-(N49*(1-'Future Type Share'!$M39)))/'Future Type Share'!$M39</f>
        <v>0.48561229438227532</v>
      </c>
      <c r="Z49" s="111">
        <f>(D49-(O49*(1-'Future Type Share'!$M39)))/'Future Type Share'!$M39</f>
        <v>3.5108391950984794E-2</v>
      </c>
      <c r="AA49" s="111">
        <f>(E49-(P49*(1-'Future Type Share'!$M39)))/'Future Type Share'!$M39</f>
        <v>7.5584058634906012E-2</v>
      </c>
      <c r="AB49" s="111">
        <f>(F49-(Q49*(1-'Future Type Share'!$M39)))/'Future Type Share'!$M39</f>
        <v>0.11575190234111619</v>
      </c>
      <c r="AC49" s="111">
        <f>(G49-(R49*(1-'Future Type Share'!$M39)))/'Future Type Share'!$M39</f>
        <v>6.8856305225371423E-2</v>
      </c>
      <c r="AD49" s="111">
        <f>(H49-(S49*(1-'Future Type Share'!$M39)))/'Future Type Share'!$M39</f>
        <v>0.11426285229474226</v>
      </c>
      <c r="AE49" s="111">
        <f>(I49-(T49*(1-'Future Type Share'!$M39)))/'Future Type Share'!$M39</f>
        <v>0.10482419517060394</v>
      </c>
      <c r="AF49" s="25">
        <f t="shared" si="3"/>
        <v>1</v>
      </c>
    </row>
    <row r="50" spans="2:43">
      <c r="B50" s="23">
        <v>2039</v>
      </c>
      <c r="C50" s="111">
        <f t="shared" si="4"/>
        <v>0.39093393062710791</v>
      </c>
      <c r="D50" s="111">
        <f t="shared" si="5"/>
        <v>0.14121553964496414</v>
      </c>
      <c r="E50" s="17">
        <v>0.06</v>
      </c>
      <c r="F50" s="111">
        <f t="shared" si="6"/>
        <v>9.339546760355244E-2</v>
      </c>
      <c r="G50" s="111">
        <f t="shared" si="7"/>
        <v>5.4659387020722171E-2</v>
      </c>
      <c r="H50" s="111">
        <f t="shared" si="8"/>
        <v>0.17647693575117707</v>
      </c>
      <c r="I50" s="111">
        <f t="shared" si="9"/>
        <v>8.3318739352476218E-2</v>
      </c>
      <c r="J50" s="25">
        <f t="shared" si="10"/>
        <v>0.99999999999999989</v>
      </c>
      <c r="M50" s="23">
        <v>2039</v>
      </c>
      <c r="N50" s="48">
        <f t="shared" si="11"/>
        <v>0</v>
      </c>
      <c r="O50" s="48">
        <f t="shared" si="12"/>
        <v>0.57093551541614129</v>
      </c>
      <c r="P50" s="48">
        <f t="shared" si="17"/>
        <v>0</v>
      </c>
      <c r="Q50" s="48">
        <f t="shared" si="17"/>
        <v>0</v>
      </c>
      <c r="R50" s="48">
        <f t="shared" si="17"/>
        <v>0</v>
      </c>
      <c r="S50" s="48">
        <f t="shared" si="14"/>
        <v>0.42906448458385871</v>
      </c>
      <c r="T50" s="48">
        <f t="shared" si="15"/>
        <v>0</v>
      </c>
      <c r="U50" s="25">
        <f t="shared" si="16"/>
        <v>1</v>
      </c>
      <c r="V50" s="17"/>
      <c r="X50" s="23">
        <v>2039</v>
      </c>
      <c r="Y50" s="111">
        <f>(C50-(N50*(1-'Future Type Share'!$M40)))/'Future Type Share'!$M40</f>
        <v>0.48989214364299177</v>
      </c>
      <c r="Z50" s="111">
        <f>(D50-(O50*(1-'Future Type Share'!$M40)))/'Future Type Share'!$M40</f>
        <v>3.2439305176571551E-2</v>
      </c>
      <c r="AA50" s="111">
        <f>(E50-(P50*(1-'Future Type Share'!$M40)))/'Future Type Share'!$M40</f>
        <v>7.5187969924811943E-2</v>
      </c>
      <c r="AB50" s="111">
        <f>(F50-(Q50*(1-'Future Type Share'!$M40)))/'Future Type Share'!$M40</f>
        <v>0.11703692682149415</v>
      </c>
      <c r="AC50" s="111">
        <f>(G50-(R50*(1-'Future Type Share'!$M40)))/'Future Type Share'!$M40</f>
        <v>6.8495472457045251E-2</v>
      </c>
      <c r="AD50" s="111">
        <f>(H50-(S50*(1-'Future Type Share'!$M40)))/'Future Type Share'!$M40</f>
        <v>0.11253873416696479</v>
      </c>
      <c r="AE50" s="111">
        <f>(I50-(T50*(1-'Future Type Share'!$M40)))/'Future Type Share'!$M40</f>
        <v>0.10440944781012045</v>
      </c>
      <c r="AF50" s="25">
        <f t="shared" si="3"/>
        <v>0.99999999999999978</v>
      </c>
    </row>
    <row r="51" spans="2:43">
      <c r="B51" s="23">
        <v>2040</v>
      </c>
      <c r="C51" s="111">
        <f t="shared" si="4"/>
        <v>0.39637999265912427</v>
      </c>
      <c r="D51" s="111">
        <f t="shared" si="5"/>
        <v>0.13746867240451266</v>
      </c>
      <c r="E51" s="17">
        <v>0.06</v>
      </c>
      <c r="F51" s="111">
        <f t="shared" si="6"/>
        <v>9.4904970548683742E-2</v>
      </c>
      <c r="G51" s="111">
        <f t="shared" si="7"/>
        <v>5.4659387020722171E-2</v>
      </c>
      <c r="H51" s="111">
        <f t="shared" si="8"/>
        <v>0.17316085068288789</v>
      </c>
      <c r="I51" s="111">
        <f t="shared" si="9"/>
        <v>8.3426126684069291E-2</v>
      </c>
      <c r="J51" s="25">
        <f t="shared" si="10"/>
        <v>1</v>
      </c>
      <c r="M51" s="23">
        <v>2040</v>
      </c>
      <c r="N51" s="48">
        <f t="shared" si="11"/>
        <v>0</v>
      </c>
      <c r="O51" s="48">
        <f t="shared" si="12"/>
        <v>0.57396097914640709</v>
      </c>
      <c r="P51" s="48">
        <f t="shared" si="17"/>
        <v>0</v>
      </c>
      <c r="Q51" s="48">
        <f t="shared" si="17"/>
        <v>0</v>
      </c>
      <c r="R51" s="48">
        <f t="shared" si="17"/>
        <v>0</v>
      </c>
      <c r="S51" s="48">
        <f t="shared" si="14"/>
        <v>0.42603902085359291</v>
      </c>
      <c r="T51" s="48">
        <f t="shared" si="15"/>
        <v>0</v>
      </c>
      <c r="U51" s="25">
        <f t="shared" si="16"/>
        <v>1</v>
      </c>
      <c r="V51" s="17"/>
      <c r="X51" s="23">
        <v>2040</v>
      </c>
      <c r="Y51" s="111">
        <f>(C51-(N51*(1-'Future Type Share'!$M41)))/'Future Type Share'!$M41</f>
        <v>0.4941273707219358</v>
      </c>
      <c r="Z51" s="111">
        <f>(D51-(O51*(1-'Future Type Share'!$M41)))/'Future Type Share'!$M41</f>
        <v>2.9829590415578377E-2</v>
      </c>
      <c r="AA51" s="111">
        <f>(E51-(P51*(1-'Future Type Share'!$M41)))/'Future Type Share'!$M41</f>
        <v>7.4796010879419658E-2</v>
      </c>
      <c r="AB51" s="111">
        <f>(F51-(Q51*(1-'Future Type Share'!$M41)))/'Future Type Share'!$M41</f>
        <v>0.11830855349450588</v>
      </c>
      <c r="AC51" s="111">
        <f>(G51-(R51*(1-'Future Type Share'!$M41)))/'Future Type Share'!$M41</f>
        <v>6.8138401771072429E-2</v>
      </c>
      <c r="AD51" s="111">
        <f>(H51-(S51*(1-'Future Type Share'!$M41)))/'Future Type Share'!$M41</f>
        <v>0.1108010480659964</v>
      </c>
      <c r="AE51" s="111">
        <f>(I51-(T51*(1-'Future Type Share'!$M41)))/'Future Type Share'!$M41</f>
        <v>0.1039990246514915</v>
      </c>
      <c r="AF51" s="25">
        <f t="shared" si="3"/>
        <v>1.0000000000000002</v>
      </c>
    </row>
    <row r="52" spans="2:43">
      <c r="B52" s="23">
        <v>2041</v>
      </c>
      <c r="C52" s="111">
        <f t="shared" si="4"/>
        <v>0.40182605469114008</v>
      </c>
      <c r="D52" s="111">
        <f t="shared" si="5"/>
        <v>0.13372180516406118</v>
      </c>
      <c r="E52" s="17">
        <v>0.06</v>
      </c>
      <c r="F52" s="111">
        <f t="shared" si="6"/>
        <v>9.6414473493815489E-2</v>
      </c>
      <c r="G52" s="111">
        <f t="shared" si="7"/>
        <v>5.4659387020722171E-2</v>
      </c>
      <c r="H52" s="111">
        <f t="shared" si="8"/>
        <v>0.16984476561459871</v>
      </c>
      <c r="I52" s="111">
        <f t="shared" si="9"/>
        <v>8.3533514015662363E-2</v>
      </c>
      <c r="J52" s="25">
        <f t="shared" si="10"/>
        <v>1</v>
      </c>
      <c r="M52" s="23">
        <v>2041</v>
      </c>
      <c r="N52" s="48">
        <f t="shared" si="11"/>
        <v>0</v>
      </c>
      <c r="O52" s="48">
        <f t="shared" si="12"/>
        <v>0.576986442876672</v>
      </c>
      <c r="P52" s="48">
        <f t="shared" si="17"/>
        <v>0</v>
      </c>
      <c r="Q52" s="48">
        <f t="shared" si="17"/>
        <v>0</v>
      </c>
      <c r="R52" s="48">
        <f t="shared" si="17"/>
        <v>0</v>
      </c>
      <c r="S52" s="48">
        <f t="shared" si="14"/>
        <v>0.423013557123328</v>
      </c>
      <c r="T52" s="48">
        <f t="shared" si="15"/>
        <v>0</v>
      </c>
      <c r="U52" s="25">
        <f t="shared" si="16"/>
        <v>1</v>
      </c>
      <c r="V52" s="17"/>
      <c r="X52" s="23">
        <v>2041</v>
      </c>
      <c r="Y52" s="111">
        <f>(C52-(N52*(1-'Future Type Share'!$M42)))/'Future Type Share'!$M42</f>
        <v>0.49831866985372542</v>
      </c>
      <c r="Z52" s="111">
        <f>(D52-(O52*(1-'Future Type Share'!$M42)))/'Future Type Share'!$M42</f>
        <v>2.727832395460629E-2</v>
      </c>
      <c r="AA52" s="111">
        <f>(E52-(P52*(1-'Future Type Share'!$M42)))/'Future Type Share'!$M42</f>
        <v>7.4408117249154512E-2</v>
      </c>
      <c r="AB52" s="111">
        <f>(F52-(Q52*(1-'Future Type Share'!$M42)))/'Future Type Share'!$M42</f>
        <v>0.11956699080405538</v>
      </c>
      <c r="AC52" s="111">
        <f>(G52-(R52*(1-'Future Type Share'!$M42)))/'Future Type Share'!$M42</f>
        <v>6.778503463674683E-2</v>
      </c>
      <c r="AD52" s="111">
        <f>(H52-(S52*(1-'Future Type Share'!$M42)))/'Future Type Share'!$M42</f>
        <v>0.10905000508318996</v>
      </c>
      <c r="AE52" s="111">
        <f>(I52-(T52*(1-'Future Type Share'!$M42)))/'Future Type Share'!$M42</f>
        <v>0.10359285841852162</v>
      </c>
      <c r="AF52" s="25">
        <f t="shared" si="3"/>
        <v>1</v>
      </c>
    </row>
    <row r="53" spans="2:43">
      <c r="B53" s="23">
        <v>2042</v>
      </c>
      <c r="C53" s="111">
        <f t="shared" si="4"/>
        <v>0.407272116723155</v>
      </c>
      <c r="D53" s="111">
        <f t="shared" si="5"/>
        <v>0.1299749379236097</v>
      </c>
      <c r="E53" s="17">
        <v>0.06</v>
      </c>
      <c r="F53" s="111">
        <f t="shared" si="6"/>
        <v>9.7923976438947236E-2</v>
      </c>
      <c r="G53" s="111">
        <f t="shared" si="7"/>
        <v>5.4659387020722171E-2</v>
      </c>
      <c r="H53" s="111">
        <f t="shared" si="8"/>
        <v>0.16652868054631043</v>
      </c>
      <c r="I53" s="111">
        <f t="shared" si="9"/>
        <v>8.3640901347255436E-2</v>
      </c>
      <c r="J53" s="25">
        <f t="shared" si="10"/>
        <v>1</v>
      </c>
      <c r="M53" s="23">
        <v>2042</v>
      </c>
      <c r="N53" s="48">
        <f t="shared" si="11"/>
        <v>0</v>
      </c>
      <c r="O53" s="48">
        <f t="shared" si="12"/>
        <v>0.58001190660693691</v>
      </c>
      <c r="P53" s="48">
        <f t="shared" si="17"/>
        <v>0</v>
      </c>
      <c r="Q53" s="48">
        <f t="shared" si="17"/>
        <v>0</v>
      </c>
      <c r="R53" s="48">
        <f t="shared" si="17"/>
        <v>0</v>
      </c>
      <c r="S53" s="48">
        <f t="shared" si="14"/>
        <v>0.41998809339306309</v>
      </c>
      <c r="T53" s="48">
        <f t="shared" si="15"/>
        <v>0</v>
      </c>
      <c r="U53" s="25">
        <f t="shared" si="16"/>
        <v>1</v>
      </c>
      <c r="V53" s="17"/>
      <c r="X53" s="23">
        <v>2042</v>
      </c>
      <c r="Y53" s="111">
        <f>(C53-(N53*(1-'Future Type Share'!$M43)))/'Future Type Share'!$M43</f>
        <v>0.5024667209460193</v>
      </c>
      <c r="Z53" s="111">
        <f>(D53-(O53*(1-'Future Type Share'!$M43)))/'Future Type Share'!$M43</f>
        <v>2.4784601142984173E-2</v>
      </c>
      <c r="AA53" s="111">
        <f>(E53-(P53*(1-'Future Type Share'!$M43)))/'Future Type Share'!$M43</f>
        <v>7.4024226110363439E-2</v>
      </c>
      <c r="AB53" s="111">
        <f>(F53-(Q53*(1-'Future Type Share'!$M43)))/'Future Type Share'!$M43</f>
        <v>0.12081244289237554</v>
      </c>
      <c r="AC53" s="111">
        <f>(G53-(R53*(1-'Future Type Share'!$M43)))/'Future Type Share'!$M43</f>
        <v>6.743531373126338E-2</v>
      </c>
      <c r="AD53" s="111">
        <f>(H53-(S53*(1-'Future Type Share'!$M43)))/'Future Type Share'!$M43</f>
        <v>0.10728581195359685</v>
      </c>
      <c r="AE53" s="111">
        <f>(I53-(T53*(1-'Future Type Share'!$M43)))/'Future Type Share'!$M43</f>
        <v>0.10319088322339731</v>
      </c>
      <c r="AF53" s="25">
        <f t="shared" si="3"/>
        <v>1</v>
      </c>
    </row>
    <row r="54" spans="2:43">
      <c r="B54" s="23">
        <v>2043</v>
      </c>
      <c r="C54" s="111">
        <f t="shared" si="4"/>
        <v>0.41271817875516992</v>
      </c>
      <c r="D54" s="111">
        <f t="shared" si="5"/>
        <v>0.12622807068315911</v>
      </c>
      <c r="E54" s="17">
        <v>0.06</v>
      </c>
      <c r="F54" s="111">
        <f t="shared" si="6"/>
        <v>9.9433479384078982E-2</v>
      </c>
      <c r="G54" s="111">
        <f t="shared" si="7"/>
        <v>5.4659387020722171E-2</v>
      </c>
      <c r="H54" s="111">
        <f t="shared" si="8"/>
        <v>0.16321259547802125</v>
      </c>
      <c r="I54" s="111">
        <f t="shared" si="9"/>
        <v>8.3748288678848509E-2</v>
      </c>
      <c r="J54" s="25">
        <f t="shared" si="10"/>
        <v>1</v>
      </c>
      <c r="M54" s="23">
        <v>2043</v>
      </c>
      <c r="N54" s="48">
        <f t="shared" si="11"/>
        <v>0</v>
      </c>
      <c r="O54" s="48">
        <f t="shared" si="12"/>
        <v>0.58303737033720182</v>
      </c>
      <c r="P54" s="48">
        <f t="shared" si="17"/>
        <v>0</v>
      </c>
      <c r="Q54" s="48">
        <f t="shared" si="17"/>
        <v>0</v>
      </c>
      <c r="R54" s="48">
        <f t="shared" si="17"/>
        <v>0</v>
      </c>
      <c r="S54" s="48">
        <f t="shared" si="14"/>
        <v>0.41696262966279818</v>
      </c>
      <c r="T54" s="48">
        <f t="shared" si="15"/>
        <v>0</v>
      </c>
      <c r="U54" s="25">
        <f t="shared" si="16"/>
        <v>1</v>
      </c>
      <c r="V54" s="17"/>
      <c r="X54" s="23">
        <v>2043</v>
      </c>
      <c r="Y54" s="111">
        <f>(C54-(N54*(1-'Future Type Share'!$M44)))/'Future Type Share'!$M44</f>
        <v>0.50657218994720721</v>
      </c>
      <c r="Z54" s="111">
        <f>(D54-(O54*(1-'Future Type Share'!$M44)))/'Future Type Share'!$M44</f>
        <v>2.2347535903540543E-2</v>
      </c>
      <c r="AA54" s="111">
        <f>(E54-(P54*(1-'Future Type Share'!$M44)))/'Future Type Share'!$M44</f>
        <v>7.36442758312877E-2</v>
      </c>
      <c r="AB54" s="111">
        <f>(F54-(Q54*(1-'Future Type Share'!$M44)))/'Future Type Share'!$M44</f>
        <v>0.12204510971042952</v>
      </c>
      <c r="AC54" s="111">
        <f>(G54-(R54*(1-'Future Type Share'!$M44)))/'Future Type Share'!$M44</f>
        <v>6.70891829087195E-2</v>
      </c>
      <c r="AD54" s="111">
        <f>(H54-(S54*(1-'Future Type Share'!$M44)))/'Future Type Share'!$M44</f>
        <v>0.10550867116775826</v>
      </c>
      <c r="AE54" s="111">
        <f>(I54-(T54*(1-'Future Type Share'!$M44)))/'Future Type Share'!$M44</f>
        <v>0.10279303453105713</v>
      </c>
      <c r="AF54" s="25">
        <f t="shared" si="3"/>
        <v>0.99999999999999989</v>
      </c>
    </row>
    <row r="55" spans="2:43">
      <c r="B55" s="23">
        <v>2044</v>
      </c>
      <c r="C55" s="111">
        <f t="shared" si="4"/>
        <v>0.41816424078718539</v>
      </c>
      <c r="D55" s="111">
        <f t="shared" si="5"/>
        <v>0.12248120344270763</v>
      </c>
      <c r="E55" s="17">
        <v>0.06</v>
      </c>
      <c r="F55" s="111">
        <f t="shared" si="6"/>
        <v>0.10094298232921028</v>
      </c>
      <c r="G55" s="111">
        <f t="shared" si="7"/>
        <v>5.4659387020722171E-2</v>
      </c>
      <c r="H55" s="111">
        <f t="shared" si="8"/>
        <v>0.15989651040973296</v>
      </c>
      <c r="I55" s="111">
        <f t="shared" si="9"/>
        <v>8.3855676010441582E-2</v>
      </c>
      <c r="J55" s="25">
        <f t="shared" si="10"/>
        <v>1</v>
      </c>
      <c r="M55" s="23">
        <v>2044</v>
      </c>
      <c r="N55" s="48">
        <f t="shared" si="11"/>
        <v>0</v>
      </c>
      <c r="O55" s="48">
        <f t="shared" si="12"/>
        <v>0.58606283406746673</v>
      </c>
      <c r="P55" s="48">
        <f t="shared" si="17"/>
        <v>0</v>
      </c>
      <c r="Q55" s="48">
        <f t="shared" si="17"/>
        <v>0</v>
      </c>
      <c r="R55" s="48">
        <f t="shared" si="17"/>
        <v>0</v>
      </c>
      <c r="S55" s="48">
        <f t="shared" si="14"/>
        <v>0.41393716593253327</v>
      </c>
      <c r="T55" s="48">
        <f t="shared" si="15"/>
        <v>0</v>
      </c>
      <c r="U55" s="25">
        <f t="shared" si="16"/>
        <v>1</v>
      </c>
      <c r="V55" s="17"/>
      <c r="X55" s="23">
        <v>2044</v>
      </c>
      <c r="Y55" s="111">
        <f>(C55-(N55*(1-'Future Type Share'!$M45)))/'Future Type Share'!$M45</f>
        <v>0.5106357292028243</v>
      </c>
      <c r="Z55" s="111">
        <f>(D55-(O55*(1-'Future Type Share'!$M45)))/'Future Type Share'!$M45</f>
        <v>1.9966260258369024E-2</v>
      </c>
      <c r="AA55" s="111">
        <f>(E55-(P55*(1-'Future Type Share'!$M45)))/'Future Type Share'!$M45</f>
        <v>7.3268206039076397E-2</v>
      </c>
      <c r="AB55" s="111">
        <f>(F55-(Q55*(1-'Future Type Share'!$M45)))/'Future Type Share'!$M45</f>
        <v>0.12326518712492379</v>
      </c>
      <c r="AC55" s="111">
        <f>(G55-(R55*(1-'Future Type Share'!$M45)))/'Future Type Share'!$M45</f>
        <v>6.6746587170064847E-2</v>
      </c>
      <c r="AD55" s="111">
        <f>(H55-(S55*(1-'Future Type Share'!$M45)))/'Future Type Share'!$M45</f>
        <v>0.1037187810800905</v>
      </c>
      <c r="AE55" s="111">
        <f>(I55-(T55*(1-'Future Type Share'!$M45)))/'Future Type Share'!$M45</f>
        <v>0.10239924912465118</v>
      </c>
      <c r="AF55" s="25">
        <f t="shared" si="3"/>
        <v>0.99999999999999989</v>
      </c>
    </row>
    <row r="56" spans="2:43">
      <c r="B56" s="23">
        <v>2045</v>
      </c>
      <c r="C56" s="111">
        <f t="shared" si="4"/>
        <v>0.4236103028192012</v>
      </c>
      <c r="D56" s="111">
        <f t="shared" si="5"/>
        <v>0.11873433620225615</v>
      </c>
      <c r="E56" s="17">
        <v>0.06</v>
      </c>
      <c r="F56" s="111">
        <f t="shared" si="6"/>
        <v>0.10245248527434203</v>
      </c>
      <c r="G56" s="111">
        <f t="shared" si="7"/>
        <v>5.4659387020722171E-2</v>
      </c>
      <c r="H56" s="111">
        <f t="shared" si="8"/>
        <v>0.15658042534144379</v>
      </c>
      <c r="I56" s="111">
        <f t="shared" si="9"/>
        <v>8.3963063342034655E-2</v>
      </c>
      <c r="J56" s="25">
        <f t="shared" si="10"/>
        <v>0.99999999999999989</v>
      </c>
      <c r="M56" s="23">
        <v>2045</v>
      </c>
      <c r="N56" s="48">
        <f t="shared" si="11"/>
        <v>0</v>
      </c>
      <c r="O56" s="48">
        <f t="shared" si="12"/>
        <v>0.58908829779773164</v>
      </c>
      <c r="P56" s="48">
        <f t="shared" si="17"/>
        <v>0</v>
      </c>
      <c r="Q56" s="48">
        <f t="shared" si="17"/>
        <v>0</v>
      </c>
      <c r="R56" s="48">
        <f t="shared" si="17"/>
        <v>0</v>
      </c>
      <c r="S56" s="48">
        <f t="shared" si="14"/>
        <v>0.41091170220226836</v>
      </c>
      <c r="T56" s="48">
        <f t="shared" si="15"/>
        <v>0</v>
      </c>
      <c r="U56" s="25">
        <f t="shared" si="16"/>
        <v>1</v>
      </c>
      <c r="V56" s="17"/>
      <c r="X56" s="23">
        <v>2045</v>
      </c>
      <c r="Y56" s="111">
        <f>(C56-(N56*(1-'Future Type Share'!$M46)))/'Future Type Share'!$M46</f>
        <v>0.51465797780110611</v>
      </c>
      <c r="Z56" s="111">
        <f>(D56-(O56*(1-'Future Type Share'!$M46)))/'Future Type Share'!$M46</f>
        <v>1.7639923869055718E-2</v>
      </c>
      <c r="AA56" s="111">
        <f>(E56-(P56*(1-'Future Type Share'!$M46)))/'Future Type Share'!$M46</f>
        <v>7.2895957587806509E-2</v>
      </c>
      <c r="AB56" s="111">
        <f>(F56-(Q56*(1-'Future Type Share'!$M46)))/'Future Type Share'!$M46</f>
        <v>0.12447286702206346</v>
      </c>
      <c r="AC56" s="111">
        <f>(G56-(R56*(1-'Future Type Share'!$M46)))/'Future Type Share'!$M46</f>
        <v>6.6407472633967748E-2</v>
      </c>
      <c r="AD56" s="111">
        <f>(H56-(S56*(1-'Future Type Share'!$M46)))/'Future Type Share'!$M46</f>
        <v>0.10191633601394597</v>
      </c>
      <c r="AE56" s="111">
        <f>(I56-(T56*(1-'Future Type Share'!$M46)))/'Future Type Share'!$M46</f>
        <v>0.10200946507205449</v>
      </c>
      <c r="AF56" s="25">
        <f t="shared" si="3"/>
        <v>1.0000000000000002</v>
      </c>
    </row>
    <row r="57" spans="2:43">
      <c r="B57" s="23">
        <v>2046</v>
      </c>
      <c r="C57" s="111">
        <f t="shared" si="4"/>
        <v>0.42905636485121712</v>
      </c>
      <c r="D57" s="111">
        <f t="shared" si="5"/>
        <v>0.11498746896180467</v>
      </c>
      <c r="E57" s="17">
        <v>0.06</v>
      </c>
      <c r="F57" s="111">
        <f t="shared" si="6"/>
        <v>0.10396198821947378</v>
      </c>
      <c r="G57" s="111">
        <f t="shared" si="7"/>
        <v>5.4659387020722171E-2</v>
      </c>
      <c r="H57" s="111">
        <f t="shared" si="8"/>
        <v>0.15326434027315461</v>
      </c>
      <c r="I57" s="111">
        <f t="shared" si="9"/>
        <v>8.4070450673627728E-2</v>
      </c>
      <c r="J57" s="25">
        <f t="shared" si="10"/>
        <v>1</v>
      </c>
      <c r="M57" s="23">
        <v>2046</v>
      </c>
      <c r="N57" s="48">
        <f t="shared" si="11"/>
        <v>0</v>
      </c>
      <c r="O57" s="48">
        <f t="shared" si="12"/>
        <v>0.59211376152799655</v>
      </c>
      <c r="P57" s="48">
        <f t="shared" si="17"/>
        <v>0</v>
      </c>
      <c r="Q57" s="48">
        <f t="shared" si="17"/>
        <v>0</v>
      </c>
      <c r="R57" s="48">
        <f t="shared" si="17"/>
        <v>0</v>
      </c>
      <c r="S57" s="48">
        <f t="shared" si="14"/>
        <v>0.40788623847200345</v>
      </c>
      <c r="T57" s="48">
        <f t="shared" si="15"/>
        <v>0</v>
      </c>
      <c r="U57" s="25">
        <f t="shared" si="16"/>
        <v>1</v>
      </c>
      <c r="V57" s="17"/>
      <c r="X57" s="23">
        <v>2046</v>
      </c>
      <c r="Y57" s="111">
        <f>(C57-(N57*(1-'Future Type Share'!$M47)))/'Future Type Share'!$M47</f>
        <v>0.51863956190806471</v>
      </c>
      <c r="Z57" s="111">
        <f>(D57-(O57*(1-'Future Type Share'!$M47)))/'Future Type Share'!$M47</f>
        <v>1.5367693590841454E-2</v>
      </c>
      <c r="AA57" s="111">
        <f>(E57-(P57*(1-'Future Type Share'!$M47)))/'Future Type Share'!$M47</f>
        <v>7.2527472527472533E-2</v>
      </c>
      <c r="AB57" s="111">
        <f>(F57-(Q57*(1-'Future Type Share'!$M47)))/'Future Type Share'!$M47</f>
        <v>0.12566833740815514</v>
      </c>
      <c r="AC57" s="111">
        <f>(G57-(R57*(1-'Future Type Share'!$M47)))/'Future Type Share'!$M47</f>
        <v>6.6071786508565267E-2</v>
      </c>
      <c r="AD57" s="111">
        <f>(H57-(S57*(1-'Future Type Share'!$M47)))/'Future Type Share'!$M47</f>
        <v>0.10010152636350481</v>
      </c>
      <c r="AE57" s="111">
        <f>(I57-(T57*(1-'Future Type Share'!$M47)))/'Future Type Share'!$M47</f>
        <v>0.10162362169339617</v>
      </c>
      <c r="AF57" s="25">
        <f t="shared" si="3"/>
        <v>1</v>
      </c>
    </row>
    <row r="58" spans="2:43">
      <c r="B58" s="23">
        <v>2047</v>
      </c>
      <c r="C58" s="111">
        <f t="shared" si="4"/>
        <v>0.4345024268832316</v>
      </c>
      <c r="D58" s="111">
        <f t="shared" si="5"/>
        <v>0.11124060172135408</v>
      </c>
      <c r="E58" s="17">
        <v>0.06</v>
      </c>
      <c r="F58" s="111">
        <f t="shared" si="6"/>
        <v>0.10547149116460508</v>
      </c>
      <c r="G58" s="111">
        <f t="shared" si="7"/>
        <v>5.4659387020722171E-2</v>
      </c>
      <c r="H58" s="111">
        <f t="shared" si="8"/>
        <v>0.14994825520486632</v>
      </c>
      <c r="I58" s="111">
        <f t="shared" si="9"/>
        <v>8.4177838005220801E-2</v>
      </c>
      <c r="J58" s="25">
        <f t="shared" si="10"/>
        <v>1</v>
      </c>
      <c r="M58" s="23">
        <v>2047</v>
      </c>
      <c r="N58" s="48">
        <f t="shared" si="11"/>
        <v>0</v>
      </c>
      <c r="O58" s="48">
        <f t="shared" si="12"/>
        <v>0.59513922525826146</v>
      </c>
      <c r="P58" s="48">
        <f t="shared" si="17"/>
        <v>0</v>
      </c>
      <c r="Q58" s="48">
        <f t="shared" si="17"/>
        <v>0</v>
      </c>
      <c r="R58" s="48">
        <f t="shared" si="17"/>
        <v>0</v>
      </c>
      <c r="S58" s="48">
        <f t="shared" si="14"/>
        <v>0.40486077474173854</v>
      </c>
      <c r="T58" s="48">
        <f t="shared" si="15"/>
        <v>0</v>
      </c>
      <c r="U58" s="25">
        <f t="shared" si="16"/>
        <v>1</v>
      </c>
      <c r="V58" s="17"/>
      <c r="X58" s="23">
        <v>2047</v>
      </c>
      <c r="Y58" s="111">
        <f>(C58-(N58*(1-'Future Type Share'!$M48)))/'Future Type Share'!$M48</f>
        <v>0.52258109509244999</v>
      </c>
      <c r="Z58" s="111">
        <f>(D58-(O58*(1-'Future Type Share'!$M48)))/'Future Type Share'!$M48</f>
        <v>1.3148753040244704E-2</v>
      </c>
      <c r="AA58" s="111">
        <f>(E58-(P58*(1-'Future Type Share'!$M48)))/'Future Type Share'!$M48</f>
        <v>7.2162694073912084E-2</v>
      </c>
      <c r="AB58" s="111">
        <f>(F58-(Q58*(1-'Future Type Share'!$M48)))/'Future Type Share'!$M48</f>
        <v>0.12685178250717866</v>
      </c>
      <c r="AC58" s="111">
        <f>(G58-(R58*(1-'Future Type Share'!$M48)))/'Future Type Share'!$M48</f>
        <v>6.5739477064065591E-2</v>
      </c>
      <c r="AD58" s="111">
        <f>(H58-(S58*(1-'Future Type Share'!$M48)))/'Future Type Share'!$M48</f>
        <v>9.8274538692581057E-2</v>
      </c>
      <c r="AE58" s="111">
        <f>(I58-(T58*(1-'Future Type Share'!$M48)))/'Future Type Share'!$M48</f>
        <v>0.10124165952956798</v>
      </c>
      <c r="AF58" s="25">
        <f t="shared" si="3"/>
        <v>1</v>
      </c>
    </row>
    <row r="59" spans="2:43">
      <c r="B59" s="23">
        <v>2048</v>
      </c>
      <c r="C59" s="111">
        <f t="shared" si="4"/>
        <v>0.4399484889152474</v>
      </c>
      <c r="D59" s="111">
        <f t="shared" si="5"/>
        <v>0.1074937344809026</v>
      </c>
      <c r="E59" s="17">
        <v>0.06</v>
      </c>
      <c r="F59" s="111">
        <f t="shared" si="6"/>
        <v>0.10698099410973683</v>
      </c>
      <c r="G59" s="111">
        <f t="shared" si="7"/>
        <v>5.4659387020722171E-2</v>
      </c>
      <c r="H59" s="111">
        <f t="shared" si="8"/>
        <v>0.14663217013657714</v>
      </c>
      <c r="I59" s="111">
        <f t="shared" si="9"/>
        <v>8.4285225336813874E-2</v>
      </c>
      <c r="J59" s="25">
        <f t="shared" si="10"/>
        <v>1</v>
      </c>
      <c r="M59" s="23">
        <v>2048</v>
      </c>
      <c r="N59" s="48">
        <f t="shared" si="11"/>
        <v>0</v>
      </c>
      <c r="O59" s="48">
        <f t="shared" si="12"/>
        <v>0.59816468898852637</v>
      </c>
      <c r="P59" s="48">
        <f t="shared" si="17"/>
        <v>0</v>
      </c>
      <c r="Q59" s="48">
        <f t="shared" si="17"/>
        <v>0</v>
      </c>
      <c r="R59" s="48">
        <f t="shared" si="17"/>
        <v>0</v>
      </c>
      <c r="S59" s="48">
        <f t="shared" si="14"/>
        <v>0.40183531101147363</v>
      </c>
      <c r="T59" s="48">
        <f t="shared" si="15"/>
        <v>0</v>
      </c>
      <c r="U59" s="25">
        <f t="shared" si="16"/>
        <v>1</v>
      </c>
      <c r="V59" s="17"/>
      <c r="X59" s="23">
        <v>2048</v>
      </c>
      <c r="Y59" s="111">
        <f>(C59-(N59*(1-'Future Type Share'!$M49)))/'Future Type Share'!$M49</f>
        <v>0.52648317864096184</v>
      </c>
      <c r="Z59" s="111">
        <f>(D59-(O59*(1-'Future Type Share'!$M49)))/'Future Type Share'!$M49</f>
        <v>1.0982302175660746E-2</v>
      </c>
      <c r="AA59" s="111">
        <f>(E59-(P59*(1-'Future Type Share'!$M49)))/'Future Type Share'!$M49</f>
        <v>7.1801566579634449E-2</v>
      </c>
      <c r="AB59" s="111">
        <f>(F59-(Q59*(1-'Future Type Share'!$M49)))/'Future Type Share'!$M49</f>
        <v>0.12802338285542916</v>
      </c>
      <c r="AC59" s="111">
        <f>(G59-(R59*(1-'Future Type Share'!$M49)))/'Future Type Share'!$M49</f>
        <v>6.5410493606173167E-2</v>
      </c>
      <c r="AD59" s="111">
        <f>(H59-(S59*(1-'Future Type Share'!$M49)))/'Future Type Share'!$M49</f>
        <v>9.6435555830461775E-2</v>
      </c>
      <c r="AE59" s="111">
        <f>(I59-(T59*(1-'Future Type Share'!$M49)))/'Future Type Share'!$M49</f>
        <v>0.1008635203116789</v>
      </c>
      <c r="AF59" s="25">
        <f t="shared" si="3"/>
        <v>1</v>
      </c>
    </row>
    <row r="60" spans="2:43">
      <c r="B60" s="23">
        <v>2049</v>
      </c>
      <c r="C60" s="111">
        <f t="shared" si="4"/>
        <v>0.44539455094726321</v>
      </c>
      <c r="D60" s="111">
        <f t="shared" si="5"/>
        <v>0.10374686724045112</v>
      </c>
      <c r="E60" s="17">
        <v>0.06</v>
      </c>
      <c r="F60" s="111">
        <f t="shared" si="6"/>
        <v>0.10849049705486857</v>
      </c>
      <c r="G60" s="111">
        <f t="shared" si="7"/>
        <v>5.4659387020722171E-2</v>
      </c>
      <c r="H60" s="111">
        <f t="shared" si="8"/>
        <v>0.14331608506828797</v>
      </c>
      <c r="I60" s="111">
        <f t="shared" si="9"/>
        <v>8.4392612668406947E-2</v>
      </c>
      <c r="J60" s="25">
        <f t="shared" si="10"/>
        <v>1</v>
      </c>
      <c r="M60" s="23">
        <v>2049</v>
      </c>
      <c r="N60" s="48">
        <f t="shared" si="11"/>
        <v>0</v>
      </c>
      <c r="O60" s="48">
        <f t="shared" si="12"/>
        <v>0.60119015271879128</v>
      </c>
      <c r="P60" s="48">
        <f t="shared" si="17"/>
        <v>0</v>
      </c>
      <c r="Q60" s="48">
        <f t="shared" si="17"/>
        <v>0</v>
      </c>
      <c r="R60" s="48">
        <f t="shared" si="17"/>
        <v>0</v>
      </c>
      <c r="S60" s="48">
        <f t="shared" si="14"/>
        <v>0.39880984728120872</v>
      </c>
      <c r="T60" s="48">
        <f t="shared" si="15"/>
        <v>0</v>
      </c>
      <c r="U60" s="25">
        <f t="shared" si="16"/>
        <v>1</v>
      </c>
      <c r="V60" s="17"/>
      <c r="X60" s="23">
        <v>2049</v>
      </c>
      <c r="Y60" s="111">
        <f>(C60-(N60*(1-'Future Type Share'!$M50)))/'Future Type Share'!$M50</f>
        <v>0.53034640186402837</v>
      </c>
      <c r="Z60" s="111">
        <f>(D60-(O60*(1-'Future Type Share'!$M50)))/'Future Type Share'!$M50</f>
        <v>8.86755689050156E-3</v>
      </c>
      <c r="AA60" s="111">
        <f>(E60-(P60*(1-'Future Type Share'!$M50)))/'Future Type Share'!$M50</f>
        <v>7.1444035505520656E-2</v>
      </c>
      <c r="AB60" s="111">
        <f>(F60-(Q60*(1-'Future Type Share'!$M50)))/'Future Type Share'!$M50</f>
        <v>0.12918331539332692</v>
      </c>
      <c r="AC60" s="111">
        <f>(G60-(R60*(1-'Future Type Share'!$M50)))/'Future Type Share'!$M50</f>
        <v>6.5084786450307824E-2</v>
      </c>
      <c r="AD60" s="111">
        <f>(H60-(S60*(1-'Future Type Share'!$M50)))/'Future Type Share'!$M50</f>
        <v>9.4584756964892686E-2</v>
      </c>
      <c r="AE60" s="111">
        <f>(I60-(T60*(1-'Future Type Share'!$M50)))/'Future Type Share'!$M50</f>
        <v>0.10048914693142197</v>
      </c>
      <c r="AF60" s="25">
        <f t="shared" si="3"/>
        <v>1</v>
      </c>
    </row>
    <row r="61" spans="2:43">
      <c r="B61" s="26">
        <v>2050</v>
      </c>
      <c r="C61" s="112">
        <f t="shared" si="4"/>
        <v>0.45084061297927769</v>
      </c>
      <c r="D61" s="112">
        <f t="shared" si="5"/>
        <v>0.10000000000000053</v>
      </c>
      <c r="E61" s="28">
        <v>0.06</v>
      </c>
      <c r="F61" s="112">
        <f t="shared" si="6"/>
        <v>0.10999999999999988</v>
      </c>
      <c r="G61" s="112">
        <f>G60</f>
        <v>5.4659387020722171E-2</v>
      </c>
      <c r="H61" s="112">
        <f t="shared" si="8"/>
        <v>0.13999999999999968</v>
      </c>
      <c r="I61" s="112">
        <f t="shared" si="9"/>
        <v>8.450000000000002E-2</v>
      </c>
      <c r="J61" s="29">
        <f t="shared" si="10"/>
        <v>1</v>
      </c>
      <c r="M61" s="26">
        <v>2050</v>
      </c>
      <c r="N61" s="49">
        <f t="shared" si="11"/>
        <v>0</v>
      </c>
      <c r="O61" s="48">
        <f t="shared" si="12"/>
        <v>0.60421561644905619</v>
      </c>
      <c r="P61" s="49">
        <f t="shared" si="17"/>
        <v>0</v>
      </c>
      <c r="Q61" s="49">
        <f t="shared" si="17"/>
        <v>0</v>
      </c>
      <c r="R61" s="49">
        <f t="shared" si="17"/>
        <v>0</v>
      </c>
      <c r="S61" s="49">
        <f t="shared" si="14"/>
        <v>0.39578438355094381</v>
      </c>
      <c r="T61" s="49">
        <f t="shared" si="15"/>
        <v>0</v>
      </c>
      <c r="U61" s="29">
        <f t="shared" si="16"/>
        <v>1</v>
      </c>
      <c r="V61" s="17"/>
      <c r="X61" s="26">
        <v>2050</v>
      </c>
      <c r="Y61" s="112">
        <f>(C61-(N61*(1-'Future Type Share'!$M51)))/'Future Type Share'!$M51</f>
        <v>0.53417134239250896</v>
      </c>
      <c r="Z61" s="112">
        <f>(D61-(O61*(1-'Future Type Share'!$M51)))/'Future Type Share'!$M51</f>
        <v>6.8037486184217427E-3</v>
      </c>
      <c r="AA61" s="112">
        <f>(E61-(P61*(1-'Future Type Share'!$M51)))/'Future Type Share'!$M51</f>
        <v>7.10900473933649E-2</v>
      </c>
      <c r="AB61" s="112">
        <f>(F61-(Q61*(1-'Future Type Share'!$M51)))/'Future Type Share'!$M51</f>
        <v>0.13033175355450219</v>
      </c>
      <c r="AC61" s="112">
        <f>(G61-(R61*(1-'Future Type Share'!$M51)))/'Future Type Share'!$M51</f>
        <v>6.4762306896590224E-2</v>
      </c>
      <c r="AD61" s="112">
        <f>(H61-(S61*(1-'Future Type Share'!$M51)))/'Future Type Share'!$M51</f>
        <v>9.2722317732289741E-2</v>
      </c>
      <c r="AE61" s="112">
        <f>(I61-(T61*(1-'Future Type Share'!$M51)))/'Future Type Share'!$M51</f>
        <v>0.10011848341232227</v>
      </c>
      <c r="AF61" s="29">
        <f t="shared" si="3"/>
        <v>1</v>
      </c>
    </row>
    <row r="62" spans="2:43">
      <c r="C62" s="1"/>
      <c r="D62" s="1"/>
      <c r="E62" s="1" t="s">
        <v>919</v>
      </c>
      <c r="F62" s="1"/>
      <c r="H62" s="1"/>
      <c r="I62" s="1"/>
      <c r="J62" s="17"/>
      <c r="Y62" s="1"/>
      <c r="Z62" s="1"/>
      <c r="AA62" s="17"/>
      <c r="AB62" s="1"/>
      <c r="AC62" s="1"/>
      <c r="AD62" s="1"/>
      <c r="AE62" s="17"/>
      <c r="AF62" s="17"/>
      <c r="AG62" s="17"/>
      <c r="AJ62" s="1"/>
      <c r="AK62" s="1"/>
      <c r="AL62" s="1"/>
      <c r="AM62" s="1"/>
      <c r="AO62" s="1"/>
      <c r="AP62" s="17"/>
      <c r="AQ62" s="17"/>
    </row>
    <row r="63" spans="2:43">
      <c r="B63">
        <v>2016</v>
      </c>
      <c r="C63" s="1"/>
      <c r="D63" s="1">
        <f t="shared" ref="D63:I63" si="18">D27</f>
        <v>0.22739348617534191</v>
      </c>
      <c r="E63" s="1">
        <f t="shared" si="18"/>
        <v>4.5229427006461348E-2</v>
      </c>
      <c r="F63" s="1">
        <f t="shared" si="18"/>
        <v>5.8676899865525274E-2</v>
      </c>
      <c r="G63" s="1">
        <f t="shared" si="18"/>
        <v>6.2087966151726855E-2</v>
      </c>
      <c r="H63" s="1">
        <f t="shared" si="18"/>
        <v>0.25274689232182096</v>
      </c>
      <c r="I63" s="1">
        <f t="shared" si="18"/>
        <v>8.0848830725835541E-2</v>
      </c>
      <c r="J63" s="17"/>
      <c r="Y63" s="1"/>
      <c r="Z63" s="1"/>
      <c r="AA63" s="17"/>
      <c r="AB63" s="1"/>
      <c r="AC63" s="1"/>
      <c r="AD63" s="1"/>
      <c r="AE63" s="17"/>
      <c r="AF63" s="17"/>
      <c r="AG63" s="17"/>
      <c r="AH63" s="17"/>
      <c r="AJ63" s="1"/>
      <c r="AK63" s="17"/>
      <c r="AL63" s="17"/>
      <c r="AM63" s="17"/>
      <c r="AO63" s="1"/>
      <c r="AP63" s="17"/>
      <c r="AQ63" s="17"/>
    </row>
    <row r="64" spans="2:43">
      <c r="B64">
        <v>2050</v>
      </c>
      <c r="D64" s="17">
        <v>0.1</v>
      </c>
      <c r="E64" s="17">
        <v>0.05</v>
      </c>
      <c r="F64" s="17">
        <v>0.11</v>
      </c>
      <c r="G64" s="17">
        <v>0.13</v>
      </c>
      <c r="H64" s="1">
        <v>0.14000000000000001</v>
      </c>
      <c r="I64" s="17">
        <v>8.4500000000000006E-2</v>
      </c>
      <c r="AK64" s="17"/>
      <c r="AL64" s="17"/>
      <c r="AM64" s="1"/>
    </row>
    <row r="65" spans="1:34" s="58" customFormat="1">
      <c r="A65" s="108" t="s">
        <v>920</v>
      </c>
      <c r="M65" s="108" t="s">
        <v>920</v>
      </c>
      <c r="X65" s="108" t="s">
        <v>920</v>
      </c>
    </row>
    <row r="66" spans="1:34">
      <c r="B66" s="146" t="s">
        <v>509</v>
      </c>
      <c r="C66" s="21"/>
      <c r="D66" s="21"/>
      <c r="E66" s="21"/>
      <c r="F66" s="21"/>
      <c r="G66" s="21"/>
      <c r="H66" s="21"/>
      <c r="I66" s="21"/>
      <c r="J66" s="22"/>
      <c r="M66" s="504" t="s">
        <v>537</v>
      </c>
      <c r="N66" s="21"/>
      <c r="O66" s="21"/>
      <c r="P66" s="21"/>
      <c r="Q66" s="21"/>
      <c r="R66" s="21"/>
      <c r="S66" s="21"/>
      <c r="T66" s="21"/>
      <c r="U66" s="22"/>
      <c r="X66" s="146" t="s">
        <v>527</v>
      </c>
      <c r="Y66" s="21"/>
      <c r="Z66" s="21"/>
      <c r="AA66" s="21"/>
      <c r="AB66" s="21"/>
      <c r="AC66" s="21"/>
      <c r="AD66" s="21"/>
      <c r="AE66" s="21"/>
      <c r="AF66" s="22"/>
    </row>
    <row r="67" spans="1:34" s="493" customFormat="1" ht="33" customHeight="1">
      <c r="B67" s="494" t="s">
        <v>557</v>
      </c>
      <c r="C67" s="495" t="s">
        <v>510</v>
      </c>
      <c r="D67" s="495" t="s">
        <v>511</v>
      </c>
      <c r="E67" s="495" t="s">
        <v>512</v>
      </c>
      <c r="F67" s="495" t="s">
        <v>513</v>
      </c>
      <c r="G67" s="495" t="s">
        <v>514</v>
      </c>
      <c r="H67" s="495" t="s">
        <v>515</v>
      </c>
      <c r="I67" s="495" t="s">
        <v>516</v>
      </c>
      <c r="J67" s="496" t="s">
        <v>517</v>
      </c>
      <c r="M67" s="494" t="s">
        <v>557</v>
      </c>
      <c r="N67" s="495" t="s">
        <v>510</v>
      </c>
      <c r="O67" s="495" t="s">
        <v>511</v>
      </c>
      <c r="P67" s="495" t="s">
        <v>512</v>
      </c>
      <c r="Q67" s="495" t="s">
        <v>513</v>
      </c>
      <c r="R67" s="495" t="s">
        <v>514</v>
      </c>
      <c r="S67" s="495" t="s">
        <v>515</v>
      </c>
      <c r="T67" s="495" t="s">
        <v>516</v>
      </c>
      <c r="U67" s="496" t="s">
        <v>517</v>
      </c>
      <c r="W67"/>
      <c r="X67" s="494" t="s">
        <v>557</v>
      </c>
      <c r="Y67" s="495" t="s">
        <v>510</v>
      </c>
      <c r="Z67" s="495" t="s">
        <v>511</v>
      </c>
      <c r="AA67" s="495" t="s">
        <v>512</v>
      </c>
      <c r="AB67" s="495" t="s">
        <v>513</v>
      </c>
      <c r="AC67" s="495" t="s">
        <v>514</v>
      </c>
      <c r="AD67" s="495" t="s">
        <v>515</v>
      </c>
      <c r="AE67" s="495" t="s">
        <v>516</v>
      </c>
      <c r="AF67" s="496" t="s">
        <v>517</v>
      </c>
      <c r="AH67"/>
    </row>
    <row r="68" spans="1:34">
      <c r="B68" s="499">
        <v>2006</v>
      </c>
      <c r="C68" s="500">
        <f>'Private,Public8EndUse'!W26</f>
        <v>0.20050466615933032</v>
      </c>
      <c r="D68" s="500">
        <f>'Private,Public8EndUse'!X26</f>
        <v>0.21968999078783996</v>
      </c>
      <c r="E68" s="500">
        <f>'Private,Public8EndUse'!Y26</f>
        <v>7.0493050827091758E-2</v>
      </c>
      <c r="F68" s="500">
        <f>'Private,Public8EndUse'!Z26</f>
        <v>0.10638042215724756</v>
      </c>
      <c r="G68" s="500">
        <f>'Private,Public8EndUse'!AA26</f>
        <v>8.8556895101534028E-2</v>
      </c>
      <c r="H68" s="500">
        <f>'Private,Public8EndUse'!V26</f>
        <v>0.27636480153803022</v>
      </c>
      <c r="I68" s="500">
        <f>'Private,Public8EndUse'!AB26</f>
        <v>3.7970120559138065E-2</v>
      </c>
      <c r="J68" s="501">
        <f>SUM(C68:I68)</f>
        <v>0.99995994713021186</v>
      </c>
      <c r="M68" s="499">
        <v>2006</v>
      </c>
      <c r="N68" s="503">
        <f>'Private,Public8EndUse'!W91</f>
        <v>0</v>
      </c>
      <c r="O68" s="503">
        <f>'Private,Public8EndUse'!X91</f>
        <v>0.43341503267973858</v>
      </c>
      <c r="P68" s="503">
        <f>'Private,Public8EndUse'!Y91</f>
        <v>0</v>
      </c>
      <c r="Q68" s="503">
        <f>'Private,Public8EndUse'!Z91</f>
        <v>0</v>
      </c>
      <c r="R68" s="503">
        <f>'Private,Public8EndUse'!AA91</f>
        <v>0</v>
      </c>
      <c r="S68" s="503">
        <f>'Private,Public8EndUse'!V91</f>
        <v>0.56168300653594772</v>
      </c>
      <c r="T68" s="503">
        <f>'Private,Public8EndUse'!AB91</f>
        <v>4.5955882352941178E-3</v>
      </c>
      <c r="U68" s="501">
        <f>SUM(N68:T68)</f>
        <v>0.99969362745098045</v>
      </c>
      <c r="V68" s="17"/>
      <c r="X68" s="499">
        <v>2006</v>
      </c>
      <c r="Y68" s="500">
        <f>'Private,Public8EndUse'!W66</f>
        <v>0.3298846787479407</v>
      </c>
      <c r="Z68" s="500">
        <f>'Private,Public8EndUse'!X66</f>
        <v>8.1779242174629327E-2</v>
      </c>
      <c r="AA68" s="500">
        <f>'Private,Public8EndUse'!Y66</f>
        <v>0.11598023064250412</v>
      </c>
      <c r="AB68" s="500">
        <f>'Private,Public8EndUse'!Z66</f>
        <v>0.17502471169686984</v>
      </c>
      <c r="AC68" s="500">
        <f>'Private,Public8EndUse'!AA66</f>
        <v>0.14570016474464581</v>
      </c>
      <c r="AD68" s="500">
        <f>'Private,Public8EndUse'!V66</f>
        <v>9.2257001647446463E-2</v>
      </c>
      <c r="AE68" s="500">
        <f>'Private,Public8EndUse'!AB66</f>
        <v>5.9505766062602966E-2</v>
      </c>
      <c r="AF68" s="501">
        <f>SUM(Y68:AE68)</f>
        <v>1.0001317957166393</v>
      </c>
    </row>
    <row r="69" spans="1:34">
      <c r="B69" s="499">
        <v>2007</v>
      </c>
      <c r="C69" s="500">
        <f>'Private,Public8EndUse'!W27</f>
        <v>0.19706174310105221</v>
      </c>
      <c r="D69" s="500">
        <f>'Private,Public8EndUse'!X27</f>
        <v>0.21584276354973198</v>
      </c>
      <c r="E69" s="500">
        <f>'Private,Public8EndUse'!Y27</f>
        <v>6.7857851895969823E-2</v>
      </c>
      <c r="F69" s="500">
        <f>'Private,Public8EndUse'!Z27</f>
        <v>0.10883462378399841</v>
      </c>
      <c r="G69" s="500">
        <f>'Private,Public8EndUse'!AA27</f>
        <v>9.223744292237443E-2</v>
      </c>
      <c r="H69" s="500">
        <f>'Private,Public8EndUse'!V27</f>
        <v>0.27885646217986898</v>
      </c>
      <c r="I69" s="500">
        <f>'Private,Public8EndUse'!AB27</f>
        <v>3.9309112567004166E-2</v>
      </c>
      <c r="J69" s="501">
        <f t="shared" ref="J69:J83" si="19">SUM(C69:I69)</f>
        <v>1</v>
      </c>
      <c r="M69" s="499">
        <v>2007</v>
      </c>
      <c r="N69" s="503">
        <f>'Private,Public8EndUse'!W92</f>
        <v>0</v>
      </c>
      <c r="O69" s="503">
        <f>'Private,Public8EndUse'!X92</f>
        <v>0.42060846009585329</v>
      </c>
      <c r="P69" s="503">
        <f>'Private,Public8EndUse'!Y92</f>
        <v>0</v>
      </c>
      <c r="Q69" s="503">
        <f>'Private,Public8EndUse'!Z92</f>
        <v>0</v>
      </c>
      <c r="R69" s="503">
        <f>'Private,Public8EndUse'!AA92</f>
        <v>0</v>
      </c>
      <c r="S69" s="503">
        <f>'Private,Public8EndUse'!V92</f>
        <v>0.5744946863929985</v>
      </c>
      <c r="T69" s="503">
        <f>'Private,Public8EndUse'!AB92</f>
        <v>4.8968535111481555E-3</v>
      </c>
      <c r="U69" s="501">
        <f t="shared" ref="U69:U83" si="20">SUM(N69:T69)</f>
        <v>0.99999999999999989</v>
      </c>
      <c r="X69" s="499">
        <v>2007</v>
      </c>
      <c r="Y69" s="500">
        <f>'Private,Public8EndUse'!W67</f>
        <v>0.3184063642779239</v>
      </c>
      <c r="Z69" s="500">
        <f>'Private,Public8EndUse'!X67</f>
        <v>8.9754282414832867E-2</v>
      </c>
      <c r="AA69" s="500">
        <f>'Private,Public8EndUse'!Y67</f>
        <v>0.10964265092705459</v>
      </c>
      <c r="AB69" s="500">
        <f>'Private,Public8EndUse'!Z67</f>
        <v>0.17585167126451531</v>
      </c>
      <c r="AC69" s="500">
        <f>'Private,Public8EndUse'!AA67</f>
        <v>0.14903445178674538</v>
      </c>
      <c r="AD69" s="500">
        <f>'Private,Public8EndUse'!V67</f>
        <v>9.681144543529864E-2</v>
      </c>
      <c r="AE69" s="500">
        <f>'Private,Public8EndUse'!AB67</f>
        <v>6.0499133893629306E-2</v>
      </c>
      <c r="AF69" s="501">
        <f t="shared" ref="AF69:AF112" si="21">SUM(Y69:AE69)</f>
        <v>0.99999999999999989</v>
      </c>
    </row>
    <row r="70" spans="1:34">
      <c r="B70" s="499">
        <v>2008</v>
      </c>
      <c r="C70" s="500">
        <f>'Private,Public8EndUse'!W28</f>
        <v>0.18940195041710728</v>
      </c>
      <c r="D70" s="500">
        <f>'Private,Public8EndUse'!X28</f>
        <v>0.21771824697450359</v>
      </c>
      <c r="E70" s="500">
        <f>'Private,Public8EndUse'!Y28</f>
        <v>6.364312850037207E-2</v>
      </c>
      <c r="F70" s="500">
        <f>'Private,Public8EndUse'!Z28</f>
        <v>0.1082912309560177</v>
      </c>
      <c r="G70" s="500">
        <f>'Private,Public8EndUse'!AA28</f>
        <v>9.3917675165472128E-2</v>
      </c>
      <c r="H70" s="500">
        <f>'Private,Public8EndUse'!V28</f>
        <v>0.28723612579798691</v>
      </c>
      <c r="I70" s="500">
        <f>'Private,Public8EndUse'!AB28</f>
        <v>3.9830807190694394E-2</v>
      </c>
      <c r="J70" s="501">
        <f t="shared" si="19"/>
        <v>1.0000391650021541</v>
      </c>
      <c r="M70" s="499">
        <v>2008</v>
      </c>
      <c r="N70" s="503">
        <f>'Private,Public8EndUse'!W93</f>
        <v>0</v>
      </c>
      <c r="O70" s="503">
        <f>'Private,Public8EndUse'!X93</f>
        <v>0.41012554863733797</v>
      </c>
      <c r="P70" s="503">
        <f>'Private,Public8EndUse'!Y93</f>
        <v>0</v>
      </c>
      <c r="Q70" s="503">
        <f>'Private,Public8EndUse'!Z93</f>
        <v>0</v>
      </c>
      <c r="R70" s="503">
        <f>'Private,Public8EndUse'!AA93</f>
        <v>0</v>
      </c>
      <c r="S70" s="503">
        <f>'Private,Public8EndUse'!V93</f>
        <v>0.58466877615596613</v>
      </c>
      <c r="T70" s="503">
        <f>'Private,Public8EndUse'!AB93</f>
        <v>5.3077472695723183E-3</v>
      </c>
      <c r="U70" s="501">
        <f t="shared" si="20"/>
        <v>1.0001020720628764</v>
      </c>
      <c r="X70" s="499">
        <v>2008</v>
      </c>
      <c r="Y70" s="500">
        <f>'Private,Public8EndUse'!W68</f>
        <v>0.30732079308591764</v>
      </c>
      <c r="Z70" s="500">
        <f>'Private,Public8EndUse'!X68</f>
        <v>9.7928317234367054E-2</v>
      </c>
      <c r="AA70" s="500">
        <f>'Private,Public8EndUse'!Y68</f>
        <v>0.103266395526182</v>
      </c>
      <c r="AB70" s="500">
        <f>'Private,Public8EndUse'!Z68</f>
        <v>0.175711743772242</v>
      </c>
      <c r="AC70" s="500">
        <f>'Private,Public8EndUse'!AA68</f>
        <v>0.15238942552109813</v>
      </c>
      <c r="AD70" s="500">
        <f>'Private,Public8EndUse'!V68</f>
        <v>0.10205897305541434</v>
      </c>
      <c r="AE70" s="500">
        <f>'Private,Public8EndUse'!AB68</f>
        <v>6.1324351804778854E-2</v>
      </c>
      <c r="AF70" s="501">
        <f t="shared" si="21"/>
        <v>1</v>
      </c>
    </row>
    <row r="71" spans="1:34">
      <c r="B71" s="499">
        <v>2009</v>
      </c>
      <c r="C71" s="500">
        <f>'Private,Public8EndUse'!W29</f>
        <v>0.19575725026852847</v>
      </c>
      <c r="D71" s="500">
        <f>'Private,Public8EndUse'!X29</f>
        <v>0.21263618229246586</v>
      </c>
      <c r="E71" s="500">
        <f>'Private,Public8EndUse'!Y29</f>
        <v>6.287402178916679E-2</v>
      </c>
      <c r="F71" s="500">
        <f>'Private,Public8EndUse'!Z29</f>
        <v>0.10810188737148994</v>
      </c>
      <c r="G71" s="500">
        <f>'Private,Public8EndUse'!AA29</f>
        <v>9.663188583704159E-2</v>
      </c>
      <c r="H71" s="500">
        <f>'Private,Public8EndUse'!V29</f>
        <v>0.28030535522479666</v>
      </c>
      <c r="I71" s="500">
        <f>'Private,Public8EndUse'!AB29</f>
        <v>4.3693417216510662E-2</v>
      </c>
      <c r="J71" s="501">
        <f t="shared" si="19"/>
        <v>1</v>
      </c>
      <c r="M71" s="499">
        <v>2009</v>
      </c>
      <c r="N71" s="503">
        <f>'Private,Public8EndUse'!W94</f>
        <v>0</v>
      </c>
      <c r="O71" s="503">
        <f>'Private,Public8EndUse'!X94</f>
        <v>0.41656416564165644</v>
      </c>
      <c r="P71" s="503">
        <f>'Private,Public8EndUse'!Y94</f>
        <v>0</v>
      </c>
      <c r="Q71" s="503">
        <f>'Private,Public8EndUse'!Z94</f>
        <v>0</v>
      </c>
      <c r="R71" s="503">
        <f>'Private,Public8EndUse'!AA94</f>
        <v>0</v>
      </c>
      <c r="S71" s="503">
        <f>'Private,Public8EndUse'!V94</f>
        <v>0.57882328823288232</v>
      </c>
      <c r="T71" s="503">
        <f>'Private,Public8EndUse'!AB94</f>
        <v>4.6125461254612546E-3</v>
      </c>
      <c r="U71" s="501">
        <f t="shared" si="20"/>
        <v>1</v>
      </c>
      <c r="X71" s="499">
        <v>2009</v>
      </c>
      <c r="Y71" s="500">
        <f>'Private,Public8EndUse'!W69</f>
        <v>0.31283717508582637</v>
      </c>
      <c r="Z71" s="500">
        <f>'Private,Public8EndUse'!X69</f>
        <v>9.0669445806768029E-2</v>
      </c>
      <c r="AA71" s="500">
        <f>'Private,Public8EndUse'!Y69</f>
        <v>0.10047817557626287</v>
      </c>
      <c r="AB71" s="500">
        <f>'Private,Public8EndUse'!Z69</f>
        <v>0.17275625306522804</v>
      </c>
      <c r="AC71" s="500">
        <f>'Private,Public8EndUse'!AA69</f>
        <v>0.15442618930848456</v>
      </c>
      <c r="AD71" s="500">
        <f>'Private,Public8EndUse'!V69</f>
        <v>0.10176557135850907</v>
      </c>
      <c r="AE71" s="500">
        <f>'Private,Public8EndUse'!AB69</f>
        <v>6.706718979892104E-2</v>
      </c>
      <c r="AF71" s="501">
        <f t="shared" si="21"/>
        <v>1</v>
      </c>
    </row>
    <row r="72" spans="1:34">
      <c r="B72" s="499">
        <v>2010</v>
      </c>
      <c r="C72" s="500">
        <f>'Private,Public8EndUse'!W30</f>
        <v>0.17768697374938089</v>
      </c>
      <c r="D72" s="500">
        <f>'Private,Public8EndUse'!X30</f>
        <v>0.22022040614165428</v>
      </c>
      <c r="E72" s="500">
        <f>'Private,Public8EndUse'!Y30</f>
        <v>5.8630510153541357E-2</v>
      </c>
      <c r="F72" s="500">
        <f>'Private,Public8EndUse'!Z30</f>
        <v>0.11255572065378901</v>
      </c>
      <c r="G72" s="500">
        <f>'Private,Public8EndUse'!AA30</f>
        <v>9.6458642892521054E-2</v>
      </c>
      <c r="H72" s="500">
        <f>'Private,Public8EndUse'!V30</f>
        <v>0.28857107478949973</v>
      </c>
      <c r="I72" s="500">
        <f>'Private,Public8EndUse'!AB30</f>
        <v>4.5938583457157012E-2</v>
      </c>
      <c r="J72" s="501">
        <f t="shared" si="19"/>
        <v>1.0000619118375433</v>
      </c>
      <c r="M72" s="499">
        <v>2010</v>
      </c>
      <c r="N72" s="503">
        <f>'Private,Public8EndUse'!W95</f>
        <v>0</v>
      </c>
      <c r="O72" s="503">
        <f>'Private,Public8EndUse'!X95</f>
        <v>0.43126239259748844</v>
      </c>
      <c r="P72" s="503">
        <f>'Private,Public8EndUse'!Y95</f>
        <v>0</v>
      </c>
      <c r="Q72" s="503">
        <f>'Private,Public8EndUse'!Z95</f>
        <v>0</v>
      </c>
      <c r="R72" s="503">
        <f>'Private,Public8EndUse'!AA95</f>
        <v>-4.9570389953734299E-3</v>
      </c>
      <c r="S72" s="503">
        <f>'Private,Public8EndUse'!V95</f>
        <v>0.60426305353602117</v>
      </c>
      <c r="T72" s="503">
        <f>'Private,Public8EndUse'!AB95</f>
        <v>4.1308658294778589E-3</v>
      </c>
      <c r="U72" s="501">
        <f t="shared" si="20"/>
        <v>1.0346992729676141</v>
      </c>
      <c r="X72" s="499">
        <v>2010</v>
      </c>
      <c r="Y72" s="500">
        <f>'Private,Public8EndUse'!W70</f>
        <v>0.28415841584158413</v>
      </c>
      <c r="Z72" s="500">
        <f>'Private,Public8EndUse'!X70</f>
        <v>9.3762376237623762E-2</v>
      </c>
      <c r="AA72" s="500">
        <f>'Private,Public8EndUse'!Y70</f>
        <v>9.3762376237623762E-2</v>
      </c>
      <c r="AB72" s="500">
        <f>'Private,Public8EndUse'!Z70</f>
        <v>0.18</v>
      </c>
      <c r="AC72" s="500">
        <f>'Private,Public8EndUse'!AA70</f>
        <v>0.15722772277227723</v>
      </c>
      <c r="AD72" s="500">
        <f>'Private,Public8EndUse'!V70</f>
        <v>9.9405940594059411E-2</v>
      </c>
      <c r="AE72" s="500">
        <f>'Private,Public8EndUse'!AB70</f>
        <v>7.0990099009900984E-2</v>
      </c>
      <c r="AF72" s="501">
        <f t="shared" si="21"/>
        <v>0.97930693069306918</v>
      </c>
    </row>
    <row r="73" spans="1:34">
      <c r="B73" s="499">
        <v>2011</v>
      </c>
      <c r="C73" s="500">
        <f>'Private,Public8EndUse'!W31</f>
        <v>0.17844748858447487</v>
      </c>
      <c r="D73" s="500">
        <f>'Private,Public8EndUse'!X31</f>
        <v>0.21704718417047184</v>
      </c>
      <c r="E73" s="500">
        <f>'Private,Public8EndUse'!Y31</f>
        <v>5.7351598173515983E-2</v>
      </c>
      <c r="F73" s="500">
        <f>'Private,Public8EndUse'!Z31</f>
        <v>0.10733637747336378</v>
      </c>
      <c r="G73" s="500">
        <f>'Private,Public8EndUse'!AA31</f>
        <v>9.9969558599695585E-2</v>
      </c>
      <c r="H73" s="500">
        <f>'Private,Public8EndUse'!V31</f>
        <v>0.28858447488584477</v>
      </c>
      <c r="I73" s="500">
        <f>'Private,Public8EndUse'!AB31</f>
        <v>5.1202435312024355E-2</v>
      </c>
      <c r="J73" s="501">
        <f t="shared" si="19"/>
        <v>0.99993911719939121</v>
      </c>
      <c r="M73" s="499">
        <v>2011</v>
      </c>
      <c r="N73" s="503">
        <f>'Private,Public8EndUse'!W96</f>
        <v>0</v>
      </c>
      <c r="O73" s="503">
        <f>'Private,Public8EndUse'!X96</f>
        <v>0.397498375568551</v>
      </c>
      <c r="P73" s="503">
        <f>'Private,Public8EndUse'!Y96</f>
        <v>0.14619883040935672</v>
      </c>
      <c r="Q73" s="503">
        <f>'Private,Public8EndUse'!Z96</f>
        <v>0</v>
      </c>
      <c r="R73" s="503">
        <f>'Private,Public8EndUse'!AA96</f>
        <v>0</v>
      </c>
      <c r="S73" s="503">
        <f>'Private,Public8EndUse'!V96</f>
        <v>0.5986029889538661</v>
      </c>
      <c r="T73" s="503">
        <f>'Private,Public8EndUse'!AB96</f>
        <v>3.8986354775828458E-3</v>
      </c>
      <c r="U73" s="501">
        <f t="shared" si="20"/>
        <v>1.1461988304093569</v>
      </c>
      <c r="X73" s="499">
        <v>2011</v>
      </c>
      <c r="Y73" s="500">
        <f>'Private,Public8EndUse'!W71</f>
        <v>0.28542214431784985</v>
      </c>
      <c r="Z73" s="500">
        <f>'Private,Public8EndUse'!X71</f>
        <v>0.10887136040510273</v>
      </c>
      <c r="AA73" s="500">
        <f>'Private,Public8EndUse'!Y71</f>
        <v>4.0899795501022499E-3</v>
      </c>
      <c r="AB73" s="500">
        <f>'Private,Public8EndUse'!Z71</f>
        <v>0.17168176063881585</v>
      </c>
      <c r="AC73" s="500">
        <f>'Private,Public8EndUse'!AA71</f>
        <v>0.15989872431590224</v>
      </c>
      <c r="AD73" s="500">
        <f>'Private,Public8EndUse'!V71</f>
        <v>0.10273639107994936</v>
      </c>
      <c r="AE73" s="500">
        <f>'Private,Public8EndUse'!AB71</f>
        <v>7.9559840296036619E-2</v>
      </c>
      <c r="AF73" s="501">
        <f t="shared" si="21"/>
        <v>0.91226020060375879</v>
      </c>
    </row>
    <row r="74" spans="1:34">
      <c r="B74" s="499">
        <v>2012</v>
      </c>
      <c r="C74" s="500">
        <f>'Private,Public8EndUse'!W32</f>
        <v>0.17959207873829006</v>
      </c>
      <c r="D74" s="500">
        <f>'Private,Public8EndUse'!X32</f>
        <v>0.21042333689078618</v>
      </c>
      <c r="E74" s="500">
        <f>'Private,Public8EndUse'!Y32</f>
        <v>5.7512154630617811E-2</v>
      </c>
      <c r="F74" s="500">
        <f>'Private,Public8EndUse'!Z32</f>
        <v>0.10227676983279972</v>
      </c>
      <c r="G74" s="500">
        <f>'Private,Public8EndUse'!AA32</f>
        <v>0.10636784062611171</v>
      </c>
      <c r="H74" s="500">
        <f>'Private,Public8EndUse'!V32</f>
        <v>0.28483339262421442</v>
      </c>
      <c r="I74" s="500">
        <f>'Private,Public8EndUse'!AB32</f>
        <v>5.8994426657180125E-2</v>
      </c>
      <c r="J74" s="501">
        <f t="shared" si="19"/>
        <v>1</v>
      </c>
      <c r="M74" s="499">
        <v>2012</v>
      </c>
      <c r="N74" s="503">
        <f>'Private,Public8EndUse'!W97</f>
        <v>0</v>
      </c>
      <c r="O74" s="503">
        <f>'Private,Public8EndUse'!X97</f>
        <v>0.40164728682170542</v>
      </c>
      <c r="P74" s="503">
        <f>'Private,Public8EndUse'!Y97</f>
        <v>0</v>
      </c>
      <c r="Q74" s="503">
        <f>'Private,Public8EndUse'!Z97</f>
        <v>0</v>
      </c>
      <c r="R74" s="503">
        <f>'Private,Public8EndUse'!AA97</f>
        <v>0</v>
      </c>
      <c r="S74" s="503">
        <f>'Private,Public8EndUse'!V97</f>
        <v>0.59496124031007747</v>
      </c>
      <c r="T74" s="503">
        <f>'Private,Public8EndUse'!AB97</f>
        <v>3.3914728682170542E-3</v>
      </c>
      <c r="U74" s="501">
        <f t="shared" si="20"/>
        <v>0.99999999999999989</v>
      </c>
      <c r="V74" s="17"/>
      <c r="X74" s="499">
        <v>2012</v>
      </c>
      <c r="Y74" s="500">
        <f>'Private,Public8EndUse'!W72</f>
        <v>0.28377365561176693</v>
      </c>
      <c r="Z74" s="500">
        <f>'Private,Public8EndUse'!X72</f>
        <v>9.949409780775717E-2</v>
      </c>
      <c r="AA74" s="500">
        <f>'Private,Public8EndUse'!Y72</f>
        <v>9.0875023421397791E-2</v>
      </c>
      <c r="AB74" s="500">
        <f>'Private,Public8EndUse'!Z72</f>
        <v>0.16160764474423833</v>
      </c>
      <c r="AC74" s="500">
        <f>'Private,Public8EndUse'!AA72</f>
        <v>0.16807195053400786</v>
      </c>
      <c r="AD74" s="500">
        <f>'Private,Public8EndUse'!V72</f>
        <v>0.10492786209480982</v>
      </c>
      <c r="AE74" s="500">
        <f>'Private,Public8EndUse'!AB72</f>
        <v>9.1249765786022105E-2</v>
      </c>
      <c r="AF74" s="502">
        <f t="shared" si="21"/>
        <v>1.0000000000000002</v>
      </c>
    </row>
    <row r="75" spans="1:34">
      <c r="B75" s="499">
        <v>2013</v>
      </c>
      <c r="C75" s="500">
        <f>'Private,Public8EndUse'!W33</f>
        <v>0.22910309340034704</v>
      </c>
      <c r="D75" s="500">
        <f>'Private,Public8EndUse'!X33</f>
        <v>0.22048903878583473</v>
      </c>
      <c r="E75" s="500">
        <f>'Private,Public8EndUse'!Y33</f>
        <v>4.9566369549506141E-2</v>
      </c>
      <c r="F75" s="500">
        <f>'Private,Public8EndUse'!Z33</f>
        <v>9.298964105034932E-2</v>
      </c>
      <c r="G75" s="500">
        <f>'Private,Public8EndUse'!AA33</f>
        <v>9.4736208142616241E-2</v>
      </c>
      <c r="H75" s="500">
        <f>'Private,Public8EndUse'!V33</f>
        <v>0.30625150566128645</v>
      </c>
      <c r="I75" s="500">
        <f>'Private,Public8EndUse'!AB33</f>
        <v>6.2334377258491933E-2</v>
      </c>
      <c r="J75" s="501">
        <f t="shared" si="19"/>
        <v>1.0554702338484319</v>
      </c>
      <c r="M75" s="499">
        <v>2013</v>
      </c>
      <c r="N75" s="503">
        <f>'Private,Public8EndUse'!W98</f>
        <v>0</v>
      </c>
      <c r="O75" s="503">
        <f>'Private,Public8EndUse'!X98</f>
        <v>0.42387033398821217</v>
      </c>
      <c r="P75" s="503">
        <f>'Private,Public8EndUse'!Y98</f>
        <v>0</v>
      </c>
      <c r="Q75" s="503">
        <f>'Private,Public8EndUse'!Z98</f>
        <v>0</v>
      </c>
      <c r="R75" s="503">
        <f>'Private,Public8EndUse'!AA98</f>
        <v>0</v>
      </c>
      <c r="S75" s="503">
        <f>'Private,Public8EndUse'!V98</f>
        <v>0.57269155206286837</v>
      </c>
      <c r="T75" s="503">
        <f>'Private,Public8EndUse'!AB98</f>
        <v>3.6018336607727569E-3</v>
      </c>
      <c r="U75" s="501">
        <f t="shared" si="20"/>
        <v>1.0001637197118534</v>
      </c>
      <c r="V75" s="17"/>
      <c r="X75" s="499">
        <v>2013</v>
      </c>
      <c r="Y75" s="500">
        <f>'Private,Public8EndUse'!W73</f>
        <v>0.27467606707317072</v>
      </c>
      <c r="Z75" s="500">
        <f>'Private,Public8EndUse'!X73</f>
        <v>0.10213414634146341</v>
      </c>
      <c r="AA75" s="500">
        <f>'Private,Public8EndUse'!Y73</f>
        <v>7.8410823170731711E-2</v>
      </c>
      <c r="AB75" s="500">
        <f>'Private,Public8EndUse'!Z73</f>
        <v>0.14710365853658536</v>
      </c>
      <c r="AC75" s="500">
        <f>'Private,Public8EndUse'!AA73</f>
        <v>0.14986661585365854</v>
      </c>
      <c r="AD75" s="500">
        <f>'Private,Public8EndUse'!V73</f>
        <v>0.15120045731707318</v>
      </c>
      <c r="AE75" s="500">
        <f>'Private,Public8EndUse'!AB73</f>
        <v>9.651295731707317E-2</v>
      </c>
      <c r="AF75" s="502">
        <f t="shared" si="21"/>
        <v>0.99990472560975618</v>
      </c>
    </row>
    <row r="76" spans="1:34">
      <c r="B76" s="499">
        <v>2014</v>
      </c>
      <c r="C76" s="500">
        <f>'Private,Public8EndUse'!W34</f>
        <v>0.17363285955191521</v>
      </c>
      <c r="D76" s="500">
        <f>'Private,Public8EndUse'!X34</f>
        <v>0.22255483276725577</v>
      </c>
      <c r="E76" s="500">
        <f>'Private,Public8EndUse'!Y34</f>
        <v>4.4614587530942378E-2</v>
      </c>
      <c r="F76" s="500">
        <f>'Private,Public8EndUse'!Z34</f>
        <v>8.6062978527430778E-2</v>
      </c>
      <c r="G76" s="500">
        <f>'Private,Public8EndUse'!AA34</f>
        <v>8.5717575269126711E-2</v>
      </c>
      <c r="H76" s="500">
        <f>'Private,Public8EndUse'!V34</f>
        <v>0.29261412699326461</v>
      </c>
      <c r="I76" s="500">
        <f>'Private,Public8EndUse'!AB34</f>
        <v>6.7238500949858962E-2</v>
      </c>
      <c r="J76" s="501">
        <f t="shared" si="19"/>
        <v>0.97243546158979444</v>
      </c>
      <c r="M76" s="499">
        <v>2014</v>
      </c>
      <c r="N76" s="503">
        <f>'Private,Public8EndUse'!W99</f>
        <v>0</v>
      </c>
      <c r="O76" s="503">
        <f>'Private,Public8EndUse'!X99</f>
        <v>0.44597474995900965</v>
      </c>
      <c r="P76" s="503">
        <f>'Private,Public8EndUse'!Y99</f>
        <v>0</v>
      </c>
      <c r="Q76" s="503">
        <f>'Private,Public8EndUse'!Z99</f>
        <v>0</v>
      </c>
      <c r="R76" s="503">
        <f>'Private,Public8EndUse'!AA99</f>
        <v>0</v>
      </c>
      <c r="S76" s="503">
        <f>'Private,Public8EndUse'!V99</f>
        <v>0.55009017871782262</v>
      </c>
      <c r="T76" s="503">
        <f>'Private,Public8EndUse'!AB99</f>
        <v>3.7711100180357437E-3</v>
      </c>
      <c r="U76" s="501">
        <f t="shared" si="20"/>
        <v>0.99983603869486803</v>
      </c>
      <c r="V76" s="17"/>
      <c r="X76" s="499">
        <v>2014</v>
      </c>
      <c r="Y76" s="500">
        <f>'Private,Public8EndUse'!W74</f>
        <v>0.31014904187366926</v>
      </c>
      <c r="Z76" s="500">
        <f>'Private,Public8EndUse'!X74</f>
        <v>0.10166784953867991</v>
      </c>
      <c r="AA76" s="500">
        <f>'Private,Public8EndUse'!Y74</f>
        <v>6.8754435770049679E-2</v>
      </c>
      <c r="AB76" s="500">
        <f>'Private,Public8EndUse'!Z74</f>
        <v>0.13262952448545068</v>
      </c>
      <c r="AC76" s="500">
        <f>'Private,Public8EndUse'!AA74</f>
        <v>0.13209723207948901</v>
      </c>
      <c r="AD76" s="500">
        <f>'Private,Public8EndUse'!V74</f>
        <v>0.15330021291696239</v>
      </c>
      <c r="AE76" s="500">
        <f>'Private,Public8EndUse'!AB74</f>
        <v>0.10157913413768631</v>
      </c>
      <c r="AF76" s="502">
        <f t="shared" si="21"/>
        <v>1.0001774308019873</v>
      </c>
    </row>
    <row r="77" spans="1:34">
      <c r="B77" s="499">
        <v>2015</v>
      </c>
      <c r="C77" s="500">
        <f>'Private,Public8EndUse'!W35</f>
        <v>0.20125496517183811</v>
      </c>
      <c r="D77" s="500">
        <f>'Private,Public8EndUse'!X35</f>
        <v>0.22781378903948143</v>
      </c>
      <c r="E77" s="500">
        <f>'Private,Public8EndUse'!Y35</f>
        <v>4.0718915733647616E-2</v>
      </c>
      <c r="F77" s="500">
        <f>'Private,Public8EndUse'!Z35</f>
        <v>7.9493223335297583E-2</v>
      </c>
      <c r="G77" s="500">
        <f>'Private,Public8EndUse'!AA35</f>
        <v>7.8845020624631709E-2</v>
      </c>
      <c r="H77" s="500">
        <f>'Private,Public8EndUse'!V35</f>
        <v>0.28945197407189155</v>
      </c>
      <c r="I77" s="500">
        <f>'Private,Public8EndUse'!AB35</f>
        <v>7.2775486152032998E-2</v>
      </c>
      <c r="J77" s="501">
        <f t="shared" si="19"/>
        <v>0.99035337412882096</v>
      </c>
      <c r="M77" s="499">
        <v>2015</v>
      </c>
      <c r="N77" s="503">
        <f>'Private,Public8EndUse'!W100</f>
        <v>0</v>
      </c>
      <c r="O77" s="503">
        <f>'Private,Public8EndUse'!X100</f>
        <v>0.46757621694458479</v>
      </c>
      <c r="P77" s="503">
        <f>'Private,Public8EndUse'!Y100</f>
        <v>0</v>
      </c>
      <c r="Q77" s="503">
        <f>'Private,Public8EndUse'!Z100</f>
        <v>0</v>
      </c>
      <c r="R77" s="503">
        <f>'Private,Public8EndUse'!AA100</f>
        <v>0</v>
      </c>
      <c r="S77" s="503">
        <f>'Private,Public8EndUse'!V100</f>
        <v>0.52871820784908208</v>
      </c>
      <c r="T77" s="503">
        <f>'Private,Public8EndUse'!AB100</f>
        <v>3.8740104429846726E-3</v>
      </c>
      <c r="U77" s="501">
        <f t="shared" si="20"/>
        <v>1.0001684352366516</v>
      </c>
      <c r="V77" s="17"/>
      <c r="X77" s="499">
        <v>2015</v>
      </c>
      <c r="Y77" s="500">
        <f>'Private,Public8EndUse'!W75</f>
        <v>0.32448110214810116</v>
      </c>
      <c r="Z77" s="500">
        <f>'Private,Public8EndUse'!X75</f>
        <v>9.8794525514365988E-2</v>
      </c>
      <c r="AA77" s="500">
        <f>'Private,Public8EndUse'!Y75</f>
        <v>6.2630290945345779E-2</v>
      </c>
      <c r="AB77" s="500">
        <f>'Private,Public8EndUse'!Z75</f>
        <v>0.12226955497144928</v>
      </c>
      <c r="AC77" s="500">
        <f>'Private,Public8EndUse'!AA75</f>
        <v>0.12127254599836854</v>
      </c>
      <c r="AD77" s="500">
        <f>'Private,Public8EndUse'!V75</f>
        <v>0.16069971902474395</v>
      </c>
      <c r="AE77" s="500">
        <f>'Private,Public8EndUse'!AB75</f>
        <v>0.1098522613976253</v>
      </c>
      <c r="AF77" s="502">
        <f t="shared" si="21"/>
        <v>1.0000000000000002</v>
      </c>
    </row>
    <row r="78" spans="1:34">
      <c r="B78" s="499">
        <v>2016</v>
      </c>
      <c r="C78" s="500">
        <f>'Private,Public8EndUse'!W36</f>
        <v>0.21096051856216852</v>
      </c>
      <c r="D78" s="500">
        <f>'Private,Public8EndUse'!X36</f>
        <v>0.2372891215823153</v>
      </c>
      <c r="E78" s="500">
        <f>'Private,Public8EndUse'!Y36</f>
        <v>3.6823734729493893E-2</v>
      </c>
      <c r="F78" s="500">
        <f>'Private,Public8EndUse'!Z36</f>
        <v>7.1320535194880741E-2</v>
      </c>
      <c r="G78" s="500">
        <f>'Private,Public8EndUse'!AA36</f>
        <v>7.1611401977894118E-2</v>
      </c>
      <c r="H78" s="500">
        <f>'Private,Public8EndUse'!V36</f>
        <v>0.28749272833042466</v>
      </c>
      <c r="I78" s="500">
        <f>'Private,Public8EndUse'!AB36</f>
        <v>7.6788830715532289E-2</v>
      </c>
      <c r="J78" s="501">
        <f t="shared" si="19"/>
        <v>0.99228687109270963</v>
      </c>
      <c r="M78" s="499">
        <v>2016</v>
      </c>
      <c r="N78" s="503">
        <f>'Private,Public8EndUse'!W101</f>
        <v>0</v>
      </c>
      <c r="O78" s="503">
        <f>'Private,Public8EndUse'!X101</f>
        <v>0.48671397920448917</v>
      </c>
      <c r="P78" s="503">
        <f>'Private,Public8EndUse'!Y101</f>
        <v>0</v>
      </c>
      <c r="Q78" s="503">
        <f>'Private,Public8EndUse'!Z101</f>
        <v>0</v>
      </c>
      <c r="R78" s="503">
        <f>'Private,Public8EndUse'!AA101</f>
        <v>0</v>
      </c>
      <c r="S78" s="503">
        <f>'Private,Public8EndUse'!V101</f>
        <v>0.50932497111734609</v>
      </c>
      <c r="T78" s="503">
        <f>'Private,Public8EndUse'!AB101</f>
        <v>3.7960059415745174E-3</v>
      </c>
      <c r="U78" s="501">
        <f t="shared" si="20"/>
        <v>0.99983495626340968</v>
      </c>
      <c r="V78" s="17"/>
      <c r="X78" s="499">
        <v>2016</v>
      </c>
      <c r="Y78" s="500">
        <f>'Private,Public8EndUse'!W76</f>
        <v>0.33761566795436171</v>
      </c>
      <c r="Z78" s="500">
        <f>'Private,Public8EndUse'!X76</f>
        <v>0.10151828227472824</v>
      </c>
      <c r="AA78" s="500">
        <f>'Private,Public8EndUse'!Y76</f>
        <v>5.6868205911418564E-2</v>
      </c>
      <c r="AB78" s="500">
        <f>'Private,Public8EndUse'!Z76</f>
        <v>0.11014284430868745</v>
      </c>
      <c r="AC78" s="500">
        <f>'Private,Public8EndUse'!AA76</f>
        <v>0.11059204024795616</v>
      </c>
      <c r="AD78" s="500">
        <f>'Private,Public8EndUse'!V76</f>
        <v>0.16674153265654479</v>
      </c>
      <c r="AE78" s="500">
        <f>'Private,Public8EndUse'!AB76</f>
        <v>0.11652142664630312</v>
      </c>
      <c r="AF78" s="502">
        <f t="shared" si="21"/>
        <v>1</v>
      </c>
    </row>
    <row r="79" spans="1:34">
      <c r="B79" s="499">
        <v>2017</v>
      </c>
      <c r="C79" s="500">
        <f>'Private,Public8EndUse'!W37</f>
        <v>0.21861547411285631</v>
      </c>
      <c r="D79" s="500">
        <f>'Private,Public8EndUse'!X37</f>
        <v>0.24220666546999342</v>
      </c>
      <c r="E79" s="500">
        <f>'Private,Public8EndUse'!Y37</f>
        <v>3.4165021240950159E-2</v>
      </c>
      <c r="F79" s="500">
        <f>'Private,Public8EndUse'!Z37</f>
        <v>6.3124513851492856E-2</v>
      </c>
      <c r="G79" s="500">
        <f>'Private,Public8EndUse'!AA37</f>
        <v>6.4740022736791719E-2</v>
      </c>
      <c r="H79" s="500">
        <f>'Private,Public8EndUse'!V37</f>
        <v>0.28636390833482916</v>
      </c>
      <c r="I79" s="500">
        <f>'Private,Public8EndUse'!AB37</f>
        <v>3.2908514330162147E-2</v>
      </c>
      <c r="J79" s="501">
        <f t="shared" si="19"/>
        <v>0.9421241200770758</v>
      </c>
      <c r="M79" s="499">
        <v>2017</v>
      </c>
      <c r="N79" s="503">
        <f>'Private,Public8EndUse'!W102</f>
        <v>1.3470281192119885E-3</v>
      </c>
      <c r="O79" s="503">
        <f>'Private,Public8EndUse'!X102</f>
        <v>0.50463040915979118</v>
      </c>
      <c r="P79" s="503">
        <f>'Private,Public8EndUse'!Y102</f>
        <v>1.6837851490149856E-4</v>
      </c>
      <c r="Q79" s="503">
        <f>'Private,Public8EndUse'!Z102</f>
        <v>3.3675702980299712E-4</v>
      </c>
      <c r="R79" s="503">
        <f>'Private,Public8EndUse'!AA102</f>
        <v>3.3675702980299712E-4</v>
      </c>
      <c r="S79" s="503">
        <f>'Private,Public8EndUse'!V102</f>
        <v>0.4923387775719818</v>
      </c>
      <c r="T79" s="503">
        <f>'Private,Public8EndUse'!AB102</f>
        <v>1.6837851490149856E-4</v>
      </c>
      <c r="U79" s="501">
        <f t="shared" si="20"/>
        <v>0.99932648594039375</v>
      </c>
      <c r="V79" s="17"/>
      <c r="X79" s="499">
        <v>2017</v>
      </c>
      <c r="Y79" s="500">
        <f>'Private,Public8EndUse'!W77</f>
        <v>0.35465008353443472</v>
      </c>
      <c r="Z79" s="500">
        <f>'Private,Public8EndUse'!X77</f>
        <v>9.7549656580657132E-2</v>
      </c>
      <c r="AA79" s="500">
        <f>'Private,Public8EndUse'!Y77</f>
        <v>5.2905142008539074E-2</v>
      </c>
      <c r="AB79" s="500">
        <f>'Private,Public8EndUse'!Z77</f>
        <v>9.7735288657880087E-2</v>
      </c>
      <c r="AC79" s="500">
        <f>'Private,Public8EndUse'!AA77</f>
        <v>0.10024132170038982</v>
      </c>
      <c r="AD79" s="500">
        <f>'Private,Public8EndUse'!V77</f>
        <v>0.17282346389456099</v>
      </c>
      <c r="AE79" s="500">
        <f>'Private,Public8EndUse'!AB77</f>
        <v>5.0956005197698162E-2</v>
      </c>
      <c r="AF79" s="502">
        <f t="shared" si="21"/>
        <v>0.92686096157415998</v>
      </c>
    </row>
    <row r="80" spans="1:34">
      <c r="B80" s="499">
        <v>2018</v>
      </c>
      <c r="C80" s="500">
        <f>'Private,Public8EndUse'!W38</f>
        <v>0.22910309340034704</v>
      </c>
      <c r="D80" s="500">
        <f>'Private,Public8EndUse'!X38</f>
        <v>0.24454948301329393</v>
      </c>
      <c r="E80" s="500">
        <f>'Private,Public8EndUse'!Y38</f>
        <v>3.3677991137370751E-2</v>
      </c>
      <c r="F80" s="500">
        <f>'Private,Public8EndUse'!Z38</f>
        <v>6.2274741506646969E-2</v>
      </c>
      <c r="G80" s="500">
        <f>'Private,Public8EndUse'!AA38</f>
        <v>6.3810930576070901E-2</v>
      </c>
      <c r="H80" s="500">
        <f>'Private,Public8EndUse'!V38</f>
        <v>0.29305760709010342</v>
      </c>
      <c r="I80" s="500">
        <f>'Private,Public8EndUse'!AB38</f>
        <v>3.2437223042836041E-2</v>
      </c>
      <c r="J80" s="501">
        <f t="shared" si="19"/>
        <v>0.95891106976666907</v>
      </c>
      <c r="M80" s="499">
        <v>2018</v>
      </c>
      <c r="N80" s="503">
        <f>'Private,Public8EndUse'!W103</f>
        <v>2.5727608940344106E-3</v>
      </c>
      <c r="O80" s="503">
        <f>'Private,Public8EndUse'!X103</f>
        <v>0.49847242321916707</v>
      </c>
      <c r="P80" s="503">
        <f>'Private,Public8EndUse'!Y103</f>
        <v>3.2159511175430133E-4</v>
      </c>
      <c r="Q80" s="503">
        <f>'Private,Public8EndUse'!Z103</f>
        <v>6.4319022350860266E-4</v>
      </c>
      <c r="R80" s="503">
        <f>'Private,Public8EndUse'!AA103</f>
        <v>6.4319022350860266E-4</v>
      </c>
      <c r="S80" s="503">
        <f>'Private,Public8EndUse'!V103</f>
        <v>0.4992764109985528</v>
      </c>
      <c r="T80" s="503">
        <f>'Private,Public8EndUse'!AB103</f>
        <v>3.2159511175430133E-4</v>
      </c>
      <c r="U80" s="501">
        <f t="shared" si="20"/>
        <v>1.0022511657822801</v>
      </c>
      <c r="V80" s="17"/>
      <c r="X80" s="499">
        <v>2018</v>
      </c>
      <c r="Y80" s="500">
        <f>'Private,Public8EndUse'!W78</f>
        <v>0.35185877078273864</v>
      </c>
      <c r="Z80" s="500">
        <f>'Private,Public8EndUse'!X78</f>
        <v>9.7048384083691389E-2</v>
      </c>
      <c r="AA80" s="500">
        <f>'Private,Public8EndUse'!Y78</f>
        <v>5.3054362039977584E-2</v>
      </c>
      <c r="AB80" s="500">
        <f>'Private,Public8EndUse'!Z78</f>
        <v>9.8075845320381091E-2</v>
      </c>
      <c r="AC80" s="500">
        <f>'Private,Public8EndUse'!AA78</f>
        <v>0.10050439006164767</v>
      </c>
      <c r="AD80" s="500">
        <f>'Private,Public8EndUse'!V78</f>
        <v>0.17326732673267325</v>
      </c>
      <c r="AE80" s="500">
        <f>'Private,Public8EndUse'!AB78</f>
        <v>5.1092845133569958E-2</v>
      </c>
      <c r="AF80" s="502">
        <f t="shared" si="21"/>
        <v>0.92490192415467942</v>
      </c>
    </row>
    <row r="81" spans="2:32">
      <c r="B81" s="499">
        <v>2019</v>
      </c>
      <c r="C81" s="500">
        <f>'Private,Public8EndUse'!W39</f>
        <v>0.22351550960118169</v>
      </c>
      <c r="D81" s="500">
        <f>'Private,Public8EndUse'!X39</f>
        <v>0.23711647304140601</v>
      </c>
      <c r="E81" s="500">
        <f>'Private,Public8EndUse'!Y39</f>
        <v>3.4971700923443552E-2</v>
      </c>
      <c r="F81" s="500">
        <f>'Private,Public8EndUse'!Z39</f>
        <v>6.5415549597855227E-2</v>
      </c>
      <c r="G81" s="500">
        <f>'Private,Public8EndUse'!AA39</f>
        <v>6.6190050640452788E-2</v>
      </c>
      <c r="H81" s="500">
        <f>'Private,Public8EndUse'!V39</f>
        <v>0.285492999702115</v>
      </c>
      <c r="I81" s="500">
        <f>'Private,Public8EndUse'!AB39</f>
        <v>3.3661006851355375E-2</v>
      </c>
      <c r="J81" s="501">
        <f t="shared" si="19"/>
        <v>0.94636329035780964</v>
      </c>
      <c r="M81" s="499">
        <v>2019</v>
      </c>
      <c r="N81" s="503">
        <f>'Private,Public8EndUse'!W104</f>
        <v>3.4211426616489907E-3</v>
      </c>
      <c r="O81" s="503">
        <f>'Private,Public8EndUse'!X104</f>
        <v>0.50496065685939107</v>
      </c>
      <c r="P81" s="503">
        <f>'Private,Public8EndUse'!Y104</f>
        <v>5.131713992473486E-4</v>
      </c>
      <c r="Q81" s="503">
        <f>'Private,Public8EndUse'!Z104</f>
        <v>8.5528566541224766E-4</v>
      </c>
      <c r="R81" s="503">
        <f>'Private,Public8EndUse'!AA104</f>
        <v>8.5528566541224766E-4</v>
      </c>
      <c r="S81" s="503">
        <f>'Private,Public8EndUse'!V104</f>
        <v>0.49349982894286692</v>
      </c>
      <c r="T81" s="503">
        <f>'Private,Public8EndUse'!AB104</f>
        <v>3.4211426616489907E-4</v>
      </c>
      <c r="U81" s="501">
        <f t="shared" si="20"/>
        <v>1.0044474854601435</v>
      </c>
      <c r="V81" s="17"/>
      <c r="X81" s="499">
        <v>2019</v>
      </c>
      <c r="Y81" s="500">
        <f>'Private,Public8EndUse'!W79</f>
        <v>0.34911783526830609</v>
      </c>
      <c r="Z81" s="500">
        <f>'Private,Public8EndUse'!X79</f>
        <v>9.3975683334856938E-2</v>
      </c>
      <c r="AA81" s="500">
        <f>'Private,Public8EndUse'!Y79</f>
        <v>5.3386964073498494E-2</v>
      </c>
      <c r="AB81" s="500">
        <f>'Private,Public8EndUse'!Z79</f>
        <v>9.9917725569064808E-2</v>
      </c>
      <c r="AC81" s="500">
        <f>'Private,Public8EndUse'!AA79</f>
        <v>0.10110613401590639</v>
      </c>
      <c r="AD81" s="500">
        <f>'Private,Public8EndUse'!V79</f>
        <v>0.17433037754822195</v>
      </c>
      <c r="AE81" s="500">
        <f>'Private,Public8EndUse'!AB79</f>
        <v>5.1467227351677483E-2</v>
      </c>
      <c r="AF81" s="502">
        <f t="shared" si="21"/>
        <v>0.92330194716153235</v>
      </c>
    </row>
    <row r="82" spans="2:32">
      <c r="B82" s="499">
        <v>2020</v>
      </c>
      <c r="C82" s="500">
        <f>'Private,Public8EndUse'!W40</f>
        <v>0.22871611557938637</v>
      </c>
      <c r="D82" s="500">
        <f>'Private,Public8EndUse'!X40</f>
        <v>0.23831337270268779</v>
      </c>
      <c r="E82" s="500">
        <f>'Private,Public8EndUse'!Y40</f>
        <v>3.4052651912357193E-2</v>
      </c>
      <c r="F82" s="500">
        <f>'Private,Public8EndUse'!Z40</f>
        <v>6.3634858435896016E-2</v>
      </c>
      <c r="G82" s="500">
        <f>'Private,Public8EndUse'!AA40</f>
        <v>6.4517909376897178E-2</v>
      </c>
      <c r="H82" s="500">
        <f>'Private,Public8EndUse'!V40</f>
        <v>0.28318339864230918</v>
      </c>
      <c r="I82" s="500">
        <f>'Private,Public8EndUse'!AB40</f>
        <v>3.2838456868480602E-2</v>
      </c>
      <c r="J82" s="501">
        <f t="shared" si="19"/>
        <v>0.94525676351801435</v>
      </c>
      <c r="M82" s="499">
        <v>2020</v>
      </c>
      <c r="N82" s="503">
        <f>'Private,Public8EndUse'!W105</f>
        <v>0</v>
      </c>
      <c r="O82" s="503">
        <f>'Private,Public8EndUse'!X105</f>
        <v>0.51191611058150621</v>
      </c>
      <c r="P82" s="503">
        <f>'Private,Public8EndUse'!Y105</f>
        <v>0</v>
      </c>
      <c r="Q82" s="503">
        <f>'Private,Public8EndUse'!Z105</f>
        <v>0</v>
      </c>
      <c r="R82" s="503">
        <f>'Private,Public8EndUse'!AA105</f>
        <v>0</v>
      </c>
      <c r="S82" s="503">
        <f>'Private,Public8EndUse'!V105</f>
        <v>0.49491579281855735</v>
      </c>
      <c r="T82" s="503">
        <f>'Private,Public8EndUse'!AB105</f>
        <v>0</v>
      </c>
      <c r="U82" s="501">
        <f t="shared" si="20"/>
        <v>1.0068319034000637</v>
      </c>
      <c r="V82" s="17"/>
      <c r="X82" s="499">
        <v>2020</v>
      </c>
      <c r="Y82" s="500">
        <f>'Private,Public8EndUse'!W80</f>
        <v>0.36194503171247355</v>
      </c>
      <c r="Z82" s="500">
        <f>'Private,Public8EndUse'!X80</f>
        <v>9.2684989429175482E-2</v>
      </c>
      <c r="AA82" s="500">
        <f>'Private,Public8EndUse'!Y80</f>
        <v>5.2177589852008453E-2</v>
      </c>
      <c r="AB82" s="500">
        <f>'Private,Public8EndUse'!Z80</f>
        <v>9.7505285412262152E-2</v>
      </c>
      <c r="AC82" s="500">
        <f>'Private,Public8EndUse'!AA80</f>
        <v>9.8858350951374213E-2</v>
      </c>
      <c r="AD82" s="500">
        <f>'Private,Public8EndUse'!V80</f>
        <v>0.17048625792811839</v>
      </c>
      <c r="AE82" s="500">
        <f>'Private,Public8EndUse'!AB80</f>
        <v>5.0317124735729385E-2</v>
      </c>
      <c r="AF82" s="502">
        <f t="shared" si="21"/>
        <v>0.92397463002114144</v>
      </c>
    </row>
    <row r="83" spans="2:32">
      <c r="B83" s="499">
        <v>2021</v>
      </c>
      <c r="C83" s="500">
        <f>'Private,Public8EndUse'!W41</f>
        <v>0.23621612671781003</v>
      </c>
      <c r="D83" s="500">
        <f>'Private,Public8EndUse'!X41</f>
        <v>0.23221117061973987</v>
      </c>
      <c r="E83" s="500">
        <f>'Private,Public8EndUse'!Y41</f>
        <v>3.442999234889059E-2</v>
      </c>
      <c r="F83" s="500">
        <f>'Private,Public8EndUse'!Z41</f>
        <v>6.4651874521805666E-2</v>
      </c>
      <c r="G83" s="500">
        <f>'Private,Public8EndUse'!AA41</f>
        <v>6.5198382336867422E-2</v>
      </c>
      <c r="H83" s="500">
        <f>'Private,Public8EndUse'!V41</f>
        <v>0.27986665209312495</v>
      </c>
      <c r="I83" s="500">
        <f>'Private,Public8EndUse'!AB41</f>
        <v>3.3173024374248551E-2</v>
      </c>
      <c r="J83" s="501">
        <f t="shared" si="19"/>
        <v>0.94574722301248704</v>
      </c>
      <c r="M83" s="499">
        <v>2021</v>
      </c>
      <c r="N83" s="503">
        <f>'Private,Public8EndUse'!W106</f>
        <v>3.2066698733365399E-3</v>
      </c>
      <c r="O83" s="503">
        <f>'Private,Public8EndUse'!X106</f>
        <v>0.50489017155683824</v>
      </c>
      <c r="P83" s="503">
        <f>'Private,Public8EndUse'!Y106</f>
        <v>0</v>
      </c>
      <c r="Q83" s="503">
        <f>'Private,Public8EndUse'!Z106</f>
        <v>0</v>
      </c>
      <c r="R83" s="503">
        <f>'Private,Public8EndUse'!AA106</f>
        <v>0</v>
      </c>
      <c r="S83" s="503">
        <f>'Private,Public8EndUse'!V106</f>
        <v>0.49142215808882478</v>
      </c>
      <c r="T83" s="503">
        <f>'Private,Public8EndUse'!AB106</f>
        <v>0</v>
      </c>
      <c r="U83" s="501">
        <f t="shared" si="20"/>
        <v>0.99951899951899947</v>
      </c>
      <c r="V83" s="17"/>
      <c r="X83" s="499">
        <v>2021</v>
      </c>
      <c r="Y83" s="500">
        <f>'Private,Public8EndUse'!W81</f>
        <v>0.36862615040212254</v>
      </c>
      <c r="Z83" s="500">
        <f>'Private,Public8EndUse'!X81</f>
        <v>9.1203051156620515E-2</v>
      </c>
      <c r="AA83" s="500">
        <f>'Private,Public8EndUse'!Y81</f>
        <v>5.2234474753337201E-2</v>
      </c>
      <c r="AB83" s="500">
        <f>'Private,Public8EndUse'!Z81</f>
        <v>9.8084735925710972E-2</v>
      </c>
      <c r="AC83" s="500">
        <f>'Private,Public8EndUse'!AA81</f>
        <v>9.8913854572589333E-2</v>
      </c>
      <c r="AD83" s="500">
        <f>'Private,Public8EndUse'!V81</f>
        <v>0.17046679379819252</v>
      </c>
      <c r="AE83" s="500">
        <f>'Private,Public8EndUse'!AB81</f>
        <v>5.0327501865516953E-2</v>
      </c>
      <c r="AF83" s="502">
        <f t="shared" si="21"/>
        <v>0.92985656247408999</v>
      </c>
    </row>
    <row r="84" spans="2:32">
      <c r="B84" s="23">
        <v>2022</v>
      </c>
      <c r="C84" s="111">
        <f t="shared" ref="C84:C112" si="22">1-SUM(D84:I84)</f>
        <v>0.18813154151222344</v>
      </c>
      <c r="D84" s="111">
        <f t="shared" ref="D84:D112" si="23">TREND(D$73:D$78,B$73:B$78,B84)</f>
        <v>0.26035425869089579</v>
      </c>
      <c r="E84" s="17">
        <f t="shared" ref="E84:G112" si="24">E$78</f>
        <v>3.6823734729493893E-2</v>
      </c>
      <c r="F84" s="111">
        <f t="shared" si="24"/>
        <v>7.1320535194880741E-2</v>
      </c>
      <c r="G84" s="111">
        <f t="shared" si="24"/>
        <v>7.1611401977894118E-2</v>
      </c>
      <c r="H84" s="111">
        <f t="shared" ref="H84:H112" si="25">TREND(H$73:H$78,B$73:B$78,B84)</f>
        <v>0.29026537317921808</v>
      </c>
      <c r="I84" s="111">
        <f t="shared" ref="I84:I112" si="26">TREND($I$63:$I$64,$B$63:$B$64,$B84)</f>
        <v>8.1493154715393978E-2</v>
      </c>
      <c r="J84" s="25">
        <f t="shared" ref="J84:J112" si="27">SUM(C84:I84)</f>
        <v>1</v>
      </c>
      <c r="M84" s="23">
        <v>2022</v>
      </c>
      <c r="N84" s="48">
        <f t="shared" ref="N84:T94" si="28">TREND(N$74:N$78,$M$74:$M$78,$M84)</f>
        <v>0</v>
      </c>
      <c r="O84" s="48">
        <f t="shared" ref="O84:O112" si="29">TREND(O$79:O$83,$M$79:$M$83,$M84)</f>
        <v>0.50916291792226875</v>
      </c>
      <c r="P84" s="48">
        <f t="shared" si="28"/>
        <v>0</v>
      </c>
      <c r="Q84" s="48">
        <f t="shared" si="28"/>
        <v>0</v>
      </c>
      <c r="R84" s="48">
        <f t="shared" si="28"/>
        <v>0</v>
      </c>
      <c r="S84" s="48">
        <f t="shared" ref="S84:S112" si="30">1-SUM(N84:R84)-T84</f>
        <v>0.48628520114827284</v>
      </c>
      <c r="T84" s="48">
        <f t="shared" si="28"/>
        <v>4.5518809294584073E-3</v>
      </c>
      <c r="U84" s="25">
        <f t="shared" ref="U84:U112" si="31">SUM(N84:T84)</f>
        <v>1</v>
      </c>
      <c r="V84" s="17"/>
      <c r="X84" s="23">
        <v>2022</v>
      </c>
      <c r="Y84" s="111">
        <f>(C84-(N84*(1-'Future Type Share'!V23)))/'Future Type Share'!$V23</f>
        <v>0.25881027471666523</v>
      </c>
      <c r="Z84" s="111">
        <f>(D84-(O84*(1-'Future Type Share'!$V23)))/'Future Type Share'!$V23</f>
        <v>0.16687986995514781</v>
      </c>
      <c r="AA84" s="111">
        <f>(E84-(P84*(1-'Future Type Share'!$V23)))/'Future Type Share'!$V23</f>
        <v>5.0657964235171625E-2</v>
      </c>
      <c r="AB84" s="111">
        <f>(F84-(Q84*(1-'Future Type Share'!$V23)))/'Future Type Share'!$V23</f>
        <v>9.8114793289605692E-2</v>
      </c>
      <c r="AC84" s="111">
        <f>(G84-(R84*(1-'Future Type Share'!$V23)))/'Future Type Share'!$V23</f>
        <v>9.851493518719788E-2</v>
      </c>
      <c r="AD84" s="111">
        <f>(H84-(S84*(1-'Future Type Share'!$V23)))/'Future Type Share'!$V23</f>
        <v>0.21662310664357054</v>
      </c>
      <c r="AE84" s="111">
        <f>(I84-(T84*(1-'Future Type Share'!$V23)))/'Future Type Share'!$V23</f>
        <v>0.11039905597264128</v>
      </c>
      <c r="AF84" s="25">
        <f t="shared" si="21"/>
        <v>1</v>
      </c>
    </row>
    <row r="85" spans="2:32">
      <c r="B85" s="23">
        <v>2023</v>
      </c>
      <c r="C85" s="111">
        <f t="shared" si="22"/>
        <v>0.18373254074107093</v>
      </c>
      <c r="D85" s="111">
        <f t="shared" si="23"/>
        <v>0.26479559690480059</v>
      </c>
      <c r="E85" s="17">
        <f t="shared" si="24"/>
        <v>3.6823734729493893E-2</v>
      </c>
      <c r="F85" s="111">
        <f t="shared" si="24"/>
        <v>7.1320535194880741E-2</v>
      </c>
      <c r="G85" s="111">
        <f t="shared" si="24"/>
        <v>7.1611401977894118E-2</v>
      </c>
      <c r="H85" s="111">
        <f t="shared" si="25"/>
        <v>0.29011564840487264</v>
      </c>
      <c r="I85" s="111">
        <f t="shared" si="26"/>
        <v>8.1600542046987051E-2</v>
      </c>
      <c r="J85" s="25">
        <f t="shared" si="27"/>
        <v>0.99999999999999989</v>
      </c>
      <c r="M85" s="23">
        <v>2023</v>
      </c>
      <c r="N85" s="48">
        <f t="shared" si="28"/>
        <v>0</v>
      </c>
      <c r="O85" s="48">
        <f t="shared" si="29"/>
        <v>0.5105592391379119</v>
      </c>
      <c r="P85" s="48">
        <f t="shared" si="28"/>
        <v>0</v>
      </c>
      <c r="Q85" s="48">
        <f t="shared" si="28"/>
        <v>0</v>
      </c>
      <c r="R85" s="48">
        <f t="shared" si="28"/>
        <v>0</v>
      </c>
      <c r="S85" s="48">
        <f t="shared" si="30"/>
        <v>0.48478075563973699</v>
      </c>
      <c r="T85" s="48">
        <f t="shared" si="28"/>
        <v>4.6600052223511046E-3</v>
      </c>
      <c r="U85" s="25">
        <f t="shared" si="31"/>
        <v>1</v>
      </c>
      <c r="V85" s="17"/>
      <c r="X85" s="23">
        <v>2023</v>
      </c>
      <c r="Y85" s="111">
        <f>(C85-(N85*(1-'Future Type Share'!V24)))/'Future Type Share'!$V24</f>
        <v>0.25131285105095463</v>
      </c>
      <c r="Z85" s="111">
        <f>(D85-(O85*(1-'Future Type Share'!$V24)))/'Future Type Share'!$V24</f>
        <v>0.17439907194514637</v>
      </c>
      <c r="AA85" s="111">
        <f>(E85-(P85*(1-'Future Type Share'!$V24)))/'Future Type Share'!$V24</f>
        <v>5.0368202191548403E-2</v>
      </c>
      <c r="AB85" s="111">
        <f>(F85-(Q85*(1-'Future Type Share'!$V24)))/'Future Type Share'!$V24</f>
        <v>9.7553579600060558E-2</v>
      </c>
      <c r="AC85" s="111">
        <f>(G85-(R85*(1-'Future Type Share'!$V24)))/'Future Type Share'!$V24</f>
        <v>9.7951432697940086E-2</v>
      </c>
      <c r="AD85" s="111">
        <f>(H85-(S85*(1-'Future Type Share'!$V24)))/'Future Type Share'!$V24</f>
        <v>0.218514132960863</v>
      </c>
      <c r="AE85" s="111">
        <f>(I85-(T85*(1-'Future Type Share'!$V24)))/'Future Type Share'!$V24</f>
        <v>0.10990072955348693</v>
      </c>
      <c r="AF85" s="25">
        <f t="shared" si="21"/>
        <v>1</v>
      </c>
    </row>
    <row r="86" spans="2:32">
      <c r="B86" s="23">
        <v>2024</v>
      </c>
      <c r="C86" s="111">
        <f t="shared" si="22"/>
        <v>0.17933353996991674</v>
      </c>
      <c r="D86" s="111">
        <f t="shared" si="23"/>
        <v>0.26923693511870717</v>
      </c>
      <c r="E86" s="17">
        <f t="shared" si="24"/>
        <v>3.6823734729493893E-2</v>
      </c>
      <c r="F86" s="111">
        <f t="shared" si="24"/>
        <v>7.1320535194880741E-2</v>
      </c>
      <c r="G86" s="111">
        <f t="shared" si="24"/>
        <v>7.1611401977894118E-2</v>
      </c>
      <c r="H86" s="111">
        <f t="shared" si="25"/>
        <v>0.2899659236305272</v>
      </c>
      <c r="I86" s="111">
        <f t="shared" si="26"/>
        <v>8.1707929378580124E-2</v>
      </c>
      <c r="J86" s="25">
        <f t="shared" si="27"/>
        <v>1</v>
      </c>
      <c r="M86" s="23">
        <v>2024</v>
      </c>
      <c r="N86" s="48">
        <f t="shared" si="28"/>
        <v>0</v>
      </c>
      <c r="O86" s="48">
        <f t="shared" si="29"/>
        <v>0.51195556035355505</v>
      </c>
      <c r="P86" s="48">
        <f t="shared" si="28"/>
        <v>0</v>
      </c>
      <c r="Q86" s="48">
        <f t="shared" si="28"/>
        <v>0</v>
      </c>
      <c r="R86" s="48">
        <f t="shared" si="28"/>
        <v>0</v>
      </c>
      <c r="S86" s="48">
        <f t="shared" si="30"/>
        <v>0.4832763101312012</v>
      </c>
      <c r="T86" s="48">
        <f t="shared" si="28"/>
        <v>4.7681295152437742E-3</v>
      </c>
      <c r="U86" s="25">
        <f t="shared" si="31"/>
        <v>1</v>
      </c>
      <c r="V86" s="17"/>
      <c r="X86" s="23">
        <v>2024</v>
      </c>
      <c r="Y86" s="111">
        <f>(C86-(N86*(1-'Future Type Share'!V25)))/'Future Type Share'!$V25</f>
        <v>0.24390070965245811</v>
      </c>
      <c r="Z86" s="111">
        <f>(D86-(O86*(1-'Future Type Share'!$V25)))/'Future Type Share'!$V25</f>
        <v>0.18184862692337173</v>
      </c>
      <c r="AA86" s="111">
        <f>(E86-(P86*(1-'Future Type Share'!$V25)))/'Future Type Share'!$V25</f>
        <v>5.0081736155345224E-2</v>
      </c>
      <c r="AB86" s="111">
        <f>(F86-(Q86*(1-'Future Type Share'!$V25)))/'Future Type Share'!$V25</f>
        <v>9.6998749646845572E-2</v>
      </c>
      <c r="AC86" s="111">
        <f>(G86-(R86*(1-'Future Type Share'!$V25)))/'Future Type Share'!$V25</f>
        <v>9.7394339979826175E-2</v>
      </c>
      <c r="AD86" s="111">
        <f>(H86-(S86*(1-'Future Type Share'!$V25)))/'Future Type Share'!$V25</f>
        <v>0.22036653620595262</v>
      </c>
      <c r="AE86" s="111">
        <f>(I86-(T86*(1-'Future Type Share'!$V25)))/'Future Type Share'!$V25</f>
        <v>0.10940930143620056</v>
      </c>
      <c r="AF86" s="25">
        <f t="shared" si="21"/>
        <v>0.99999999999999989</v>
      </c>
    </row>
    <row r="87" spans="2:32">
      <c r="B87" s="23">
        <v>2025</v>
      </c>
      <c r="C87" s="111">
        <f t="shared" si="22"/>
        <v>0.17493453919876267</v>
      </c>
      <c r="D87" s="111">
        <f t="shared" si="23"/>
        <v>0.27367827333261374</v>
      </c>
      <c r="E87" s="17">
        <f t="shared" si="24"/>
        <v>3.6823734729493893E-2</v>
      </c>
      <c r="F87" s="111">
        <f t="shared" si="24"/>
        <v>7.1320535194880741E-2</v>
      </c>
      <c r="G87" s="111">
        <f t="shared" si="24"/>
        <v>7.1611401977894118E-2</v>
      </c>
      <c r="H87" s="111">
        <f t="shared" si="25"/>
        <v>0.28981619885618171</v>
      </c>
      <c r="I87" s="111">
        <f t="shared" si="26"/>
        <v>8.1815316710173197E-2</v>
      </c>
      <c r="J87" s="25">
        <f t="shared" si="27"/>
        <v>1.0000000000000002</v>
      </c>
      <c r="M87" s="23">
        <v>2025</v>
      </c>
      <c r="N87" s="48">
        <f t="shared" si="28"/>
        <v>0</v>
      </c>
      <c r="O87" s="48">
        <f t="shared" si="29"/>
        <v>0.51335188156919864</v>
      </c>
      <c r="P87" s="48">
        <f t="shared" si="28"/>
        <v>0</v>
      </c>
      <c r="Q87" s="48">
        <f t="shared" si="28"/>
        <v>0</v>
      </c>
      <c r="R87" s="48">
        <f t="shared" si="28"/>
        <v>0</v>
      </c>
      <c r="S87" s="48">
        <f t="shared" si="30"/>
        <v>0.48177186462266486</v>
      </c>
      <c r="T87" s="48">
        <f t="shared" si="28"/>
        <v>4.8762538081364715E-3</v>
      </c>
      <c r="U87" s="25">
        <f t="shared" si="31"/>
        <v>1</v>
      </c>
      <c r="V87" s="17"/>
      <c r="X87" s="23">
        <v>2025</v>
      </c>
      <c r="Y87" s="111">
        <f>(C87-(N87*(1-'Future Type Share'!V26)))/'Future Type Share'!$V26</f>
        <v>0.23657240363737286</v>
      </c>
      <c r="Z87" s="111">
        <f>(D87-(O87*(1-'Future Type Share'!$V26)))/'Future Type Share'!$V26</f>
        <v>0.18922971650865822</v>
      </c>
      <c r="AA87" s="111">
        <f>(E87-(P87*(1-'Future Type Share'!$V26)))/'Future Type Share'!$V26</f>
        <v>4.9798510207085457E-2</v>
      </c>
      <c r="AB87" s="111">
        <f>(F87-(Q87*(1-'Future Type Share'!$V26)))/'Future Type Share'!$V26</f>
        <v>9.6450195124623647E-2</v>
      </c>
      <c r="AC87" s="111">
        <f>(G87-(R87*(1-'Future Type Share'!$V26)))/'Future Type Share'!$V26</f>
        <v>9.6843548285817052E-2</v>
      </c>
      <c r="AD87" s="111">
        <f>(H87-(S87*(1-'Future Type Share'!$V26)))/'Future Type Share'!$V26</f>
        <v>0.22218097165102529</v>
      </c>
      <c r="AE87" s="111">
        <f>(I87-(T87*(1-'Future Type Share'!$V26)))/'Future Type Share'!$V26</f>
        <v>0.10892465458541759</v>
      </c>
      <c r="AF87" s="25">
        <f t="shared" si="21"/>
        <v>1.0000000000000002</v>
      </c>
    </row>
    <row r="88" spans="2:32">
      <c r="B88" s="23">
        <v>2026</v>
      </c>
      <c r="C88" s="111">
        <f t="shared" si="22"/>
        <v>0.17053553842760838</v>
      </c>
      <c r="D88" s="111">
        <f t="shared" si="23"/>
        <v>0.27811961154652032</v>
      </c>
      <c r="E88" s="17">
        <f t="shared" si="24"/>
        <v>3.6823734729493893E-2</v>
      </c>
      <c r="F88" s="111">
        <f t="shared" si="24"/>
        <v>7.1320535194880741E-2</v>
      </c>
      <c r="G88" s="111">
        <f t="shared" si="24"/>
        <v>7.1611401977894118E-2</v>
      </c>
      <c r="H88" s="111">
        <f t="shared" si="25"/>
        <v>0.28966647408183627</v>
      </c>
      <c r="I88" s="111">
        <f t="shared" si="26"/>
        <v>8.192270404176627E-2</v>
      </c>
      <c r="J88" s="25">
        <f t="shared" si="27"/>
        <v>1</v>
      </c>
      <c r="M88" s="23">
        <v>2026</v>
      </c>
      <c r="N88" s="48">
        <f t="shared" si="28"/>
        <v>0</v>
      </c>
      <c r="O88" s="48">
        <f t="shared" si="29"/>
        <v>0.51474820278484179</v>
      </c>
      <c r="P88" s="48">
        <f t="shared" si="28"/>
        <v>0</v>
      </c>
      <c r="Q88" s="48">
        <f t="shared" si="28"/>
        <v>0</v>
      </c>
      <c r="R88" s="48">
        <f t="shared" si="28"/>
        <v>0</v>
      </c>
      <c r="S88" s="48">
        <f t="shared" si="30"/>
        <v>0.48026741911412907</v>
      </c>
      <c r="T88" s="48">
        <f t="shared" si="28"/>
        <v>4.984378101029141E-3</v>
      </c>
      <c r="U88" s="25">
        <f t="shared" si="31"/>
        <v>1</v>
      </c>
      <c r="V88" s="17"/>
      <c r="X88" s="23">
        <v>2026</v>
      </c>
      <c r="Y88" s="111">
        <f>(C88-(N88*(1-'Future Type Share'!V27)))/'Future Type Share'!$V27</f>
        <v>0.22932651866793316</v>
      </c>
      <c r="Z88" s="111">
        <f>(D88-(O88*(1-'Future Type Share'!$V27)))/'Future Type Share'!$V27</f>
        <v>0.196543495740644</v>
      </c>
      <c r="AA88" s="111">
        <f>(E88-(P88*(1-'Future Type Share'!$V27)))/'Future Type Share'!$V27</f>
        <v>4.9518469685138518E-2</v>
      </c>
      <c r="AB88" s="111">
        <f>(F88-(Q88*(1-'Future Type Share'!$V27)))/'Future Type Share'!$V27</f>
        <v>9.5907810164265112E-2</v>
      </c>
      <c r="AC88" s="111">
        <f>(G88-(R88*(1-'Future Type Share'!$V27)))/'Future Type Share'!$V27</f>
        <v>9.629895131501659E-2</v>
      </c>
      <c r="AD88" s="111">
        <f>(H88-(S88*(1-'Future Type Share'!$V27)))/'Future Type Share'!$V27</f>
        <v>0.2239580798286496</v>
      </c>
      <c r="AE88" s="111">
        <f>(I88-(T88*(1-'Future Type Share'!$V27)))/'Future Type Share'!$V27</f>
        <v>0.10844667459835297</v>
      </c>
      <c r="AF88" s="25">
        <f t="shared" si="21"/>
        <v>1</v>
      </c>
    </row>
    <row r="89" spans="2:32">
      <c r="B89" s="23">
        <v>2027</v>
      </c>
      <c r="C89" s="111">
        <f t="shared" si="22"/>
        <v>0.16613653765645409</v>
      </c>
      <c r="D89" s="111">
        <f t="shared" si="23"/>
        <v>0.28256094976042689</v>
      </c>
      <c r="E89" s="17">
        <f t="shared" si="24"/>
        <v>3.6823734729493893E-2</v>
      </c>
      <c r="F89" s="111">
        <f t="shared" si="24"/>
        <v>7.1320535194880741E-2</v>
      </c>
      <c r="G89" s="111">
        <f t="shared" si="24"/>
        <v>7.1611401977894118E-2</v>
      </c>
      <c r="H89" s="111">
        <f t="shared" si="25"/>
        <v>0.28951674930749083</v>
      </c>
      <c r="I89" s="111">
        <f t="shared" si="26"/>
        <v>8.2030091373359343E-2</v>
      </c>
      <c r="J89" s="25">
        <f t="shared" si="27"/>
        <v>1</v>
      </c>
      <c r="M89" s="23">
        <v>2027</v>
      </c>
      <c r="N89" s="48">
        <f t="shared" si="28"/>
        <v>0</v>
      </c>
      <c r="O89" s="48">
        <f t="shared" si="29"/>
        <v>0.51614452400048538</v>
      </c>
      <c r="P89" s="48">
        <f t="shared" si="28"/>
        <v>0</v>
      </c>
      <c r="Q89" s="48">
        <f t="shared" si="28"/>
        <v>0</v>
      </c>
      <c r="R89" s="48">
        <f t="shared" si="28"/>
        <v>0</v>
      </c>
      <c r="S89" s="48">
        <f t="shared" si="30"/>
        <v>0.47876297360559278</v>
      </c>
      <c r="T89" s="48">
        <f t="shared" si="28"/>
        <v>5.0925023939218383E-3</v>
      </c>
      <c r="U89" s="25">
        <f t="shared" si="31"/>
        <v>1</v>
      </c>
      <c r="V89" s="17"/>
      <c r="X89" s="23">
        <v>2027</v>
      </c>
      <c r="Y89" s="111">
        <f>(C89-(N89*(1-'Future Type Share'!V28)))/'Future Type Share'!$V28</f>
        <v>0.22216167204242593</v>
      </c>
      <c r="Z89" s="111">
        <f>(D89-(O89*(1-'Future Type Share'!$V28)))/'Future Type Share'!$V28</f>
        <v>0.20379109382292102</v>
      </c>
      <c r="AA89" s="111">
        <f>(E89-(P89*(1-'Future Type Share'!$V28)))/'Future Type Share'!$V28</f>
        <v>4.9241561150551054E-2</v>
      </c>
      <c r="AB89" s="111">
        <f>(F89-(Q89*(1-'Future Type Share'!$V28)))/'Future Type Share'!$V28</f>
        <v>9.5371491264732378E-2</v>
      </c>
      <c r="AC89" s="111">
        <f>(G89-(R89*(1-'Future Type Share'!$V28)))/'Future Type Share'!$V28</f>
        <v>9.5760445144278589E-2</v>
      </c>
      <c r="AD89" s="111">
        <f>(H89-(S89*(1-'Future Type Share'!$V28)))/'Future Type Share'!$V28</f>
        <v>0.22569848694389544</v>
      </c>
      <c r="AE89" s="111">
        <f>(I89-(T89*(1-'Future Type Share'!$V28)))/'Future Type Share'!$V28</f>
        <v>0.10797524963119548</v>
      </c>
      <c r="AF89" s="25">
        <f t="shared" si="21"/>
        <v>0.99999999999999978</v>
      </c>
    </row>
    <row r="90" spans="2:32">
      <c r="B90" s="23">
        <v>2028</v>
      </c>
      <c r="C90" s="111">
        <f t="shared" si="22"/>
        <v>0.16173753688530002</v>
      </c>
      <c r="D90" s="111">
        <f t="shared" si="23"/>
        <v>0.28700228797433347</v>
      </c>
      <c r="E90" s="17">
        <f t="shared" si="24"/>
        <v>3.6823734729493893E-2</v>
      </c>
      <c r="F90" s="111">
        <f t="shared" si="24"/>
        <v>7.1320535194880741E-2</v>
      </c>
      <c r="G90" s="111">
        <f t="shared" si="24"/>
        <v>7.1611401977894118E-2</v>
      </c>
      <c r="H90" s="111">
        <f t="shared" si="25"/>
        <v>0.28936702453314533</v>
      </c>
      <c r="I90" s="111">
        <f t="shared" si="26"/>
        <v>8.2137478704952416E-2</v>
      </c>
      <c r="J90" s="25">
        <f t="shared" si="27"/>
        <v>1</v>
      </c>
      <c r="M90" s="23">
        <v>2028</v>
      </c>
      <c r="N90" s="48">
        <f t="shared" si="28"/>
        <v>0</v>
      </c>
      <c r="O90" s="48">
        <f t="shared" si="29"/>
        <v>0.51754084521612853</v>
      </c>
      <c r="P90" s="48">
        <f t="shared" si="28"/>
        <v>0</v>
      </c>
      <c r="Q90" s="48">
        <f t="shared" si="28"/>
        <v>0</v>
      </c>
      <c r="R90" s="48">
        <f t="shared" si="28"/>
        <v>0</v>
      </c>
      <c r="S90" s="48">
        <f t="shared" si="30"/>
        <v>0.47725852809705693</v>
      </c>
      <c r="T90" s="48">
        <f t="shared" si="28"/>
        <v>5.2006266868145079E-3</v>
      </c>
      <c r="U90" s="25">
        <f t="shared" si="31"/>
        <v>1</v>
      </c>
      <c r="V90" s="17"/>
      <c r="X90" s="23">
        <v>2028</v>
      </c>
      <c r="Y90" s="111">
        <f>(C90-(N90*(1-'Future Type Share'!V29)))/'Future Type Share'!$V29</f>
        <v>0.21507651181555859</v>
      </c>
      <c r="Z90" s="111">
        <f>(D90-(O90*(1-'Future Type Share'!$V29)))/'Future Type Share'!$V29</f>
        <v>0.21097361484140098</v>
      </c>
      <c r="AA90" s="111">
        <f>(E90-(P90*(1-'Future Type Share'!$V29)))/'Future Type Share'!$V29</f>
        <v>4.8967732353050401E-2</v>
      </c>
      <c r="AB90" s="111">
        <f>(F90-(Q90*(1-'Future Type Share'!$V29)))/'Future Type Share'!$V29</f>
        <v>9.4841137227235056E-2</v>
      </c>
      <c r="AC90" s="111">
        <f>(G90-(R90*(1-'Future Type Share'!$V29)))/'Future Type Share'!$V29</f>
        <v>9.5227928162093273E-2</v>
      </c>
      <c r="AD90" s="111">
        <f>(H90-(S90*(1-'Future Type Share'!$V29)))/'Future Type Share'!$V29</f>
        <v>0.22740280527270634</v>
      </c>
      <c r="AE90" s="111">
        <f>(I90-(T90*(1-'Future Type Share'!$V29)))/'Future Type Share'!$V29</f>
        <v>0.10751027032795538</v>
      </c>
      <c r="AF90" s="25">
        <f t="shared" si="21"/>
        <v>1</v>
      </c>
    </row>
    <row r="91" spans="2:32">
      <c r="B91" s="23">
        <v>2029</v>
      </c>
      <c r="C91" s="111">
        <f t="shared" si="22"/>
        <v>0.15733853611414583</v>
      </c>
      <c r="D91" s="111">
        <f t="shared" si="23"/>
        <v>0.29144362618824005</v>
      </c>
      <c r="E91" s="17">
        <f t="shared" si="24"/>
        <v>3.6823734729493893E-2</v>
      </c>
      <c r="F91" s="111">
        <f t="shared" si="24"/>
        <v>7.1320535194880741E-2</v>
      </c>
      <c r="G91" s="111">
        <f t="shared" si="24"/>
        <v>7.1611401977894118E-2</v>
      </c>
      <c r="H91" s="111">
        <f t="shared" si="25"/>
        <v>0.2892172997587999</v>
      </c>
      <c r="I91" s="111">
        <f t="shared" si="26"/>
        <v>8.2244866036545489E-2</v>
      </c>
      <c r="J91" s="25">
        <f t="shared" si="27"/>
        <v>0.99999999999999989</v>
      </c>
      <c r="M91" s="23">
        <v>2029</v>
      </c>
      <c r="N91" s="48">
        <f t="shared" si="28"/>
        <v>0</v>
      </c>
      <c r="O91" s="48">
        <f t="shared" si="29"/>
        <v>0.51893716643177168</v>
      </c>
      <c r="P91" s="48">
        <f t="shared" si="28"/>
        <v>0</v>
      </c>
      <c r="Q91" s="48">
        <f t="shared" si="28"/>
        <v>0</v>
      </c>
      <c r="R91" s="48">
        <f t="shared" si="28"/>
        <v>0</v>
      </c>
      <c r="S91" s="48">
        <f t="shared" si="30"/>
        <v>0.47575408258852114</v>
      </c>
      <c r="T91" s="48">
        <f t="shared" si="28"/>
        <v>5.3087509797072052E-3</v>
      </c>
      <c r="U91" s="25">
        <f t="shared" si="31"/>
        <v>1</v>
      </c>
      <c r="V91" s="17"/>
      <c r="X91" s="23">
        <v>2029</v>
      </c>
      <c r="Y91" s="111">
        <f>(C91-(N91*(1-'Future Type Share'!V30)))/'Future Type Share'!$V30</f>
        <v>0.20806971594801688</v>
      </c>
      <c r="Z91" s="111">
        <f>(D91-(O91*(1-'Future Type Share'!$V30)))/'Future Type Share'!$V30</f>
        <v>0.21809213845883968</v>
      </c>
      <c r="AA91" s="111">
        <f>(E91-(P91*(1-'Future Type Share'!$V30)))/'Future Type Share'!$V30</f>
        <v>4.8696932198176592E-2</v>
      </c>
      <c r="AB91" s="111">
        <f>(F91-(Q91*(1-'Future Type Share'!$V30)))/'Future Type Share'!$V30</f>
        <v>9.4316649091571086E-2</v>
      </c>
      <c r="AC91" s="111">
        <f>(G91-(R91*(1-'Future Type Share'!$V30)))/'Future Type Share'!$V30</f>
        <v>9.4701301004668836E-2</v>
      </c>
      <c r="AD91" s="111">
        <f>(H91-(S91*(1-'Future Type Share'!$V30)))/'Future Type Share'!$V30</f>
        <v>0.22907163354705276</v>
      </c>
      <c r="AE91" s="111">
        <f>(I91-(T91*(1-'Future Type Share'!$V30)))/'Future Type Share'!$V30</f>
        <v>0.10705162975167418</v>
      </c>
      <c r="AF91" s="25">
        <f t="shared" si="21"/>
        <v>0.99999999999999989</v>
      </c>
    </row>
    <row r="92" spans="2:32">
      <c r="B92" s="23">
        <v>2030</v>
      </c>
      <c r="C92" s="111">
        <f t="shared" si="22"/>
        <v>0.15293953534299154</v>
      </c>
      <c r="D92" s="111">
        <f t="shared" si="23"/>
        <v>0.29588496440214662</v>
      </c>
      <c r="E92" s="17">
        <f t="shared" si="24"/>
        <v>3.6823734729493893E-2</v>
      </c>
      <c r="F92" s="111">
        <f t="shared" si="24"/>
        <v>7.1320535194880741E-2</v>
      </c>
      <c r="G92" s="111">
        <f t="shared" si="24"/>
        <v>7.1611401977894118E-2</v>
      </c>
      <c r="H92" s="111">
        <f t="shared" si="25"/>
        <v>0.28906757498445446</v>
      </c>
      <c r="I92" s="111">
        <f t="shared" si="26"/>
        <v>8.2352253368138562E-2</v>
      </c>
      <c r="J92" s="25">
        <f t="shared" si="27"/>
        <v>0.99999999999999989</v>
      </c>
      <c r="M92" s="23">
        <v>2030</v>
      </c>
      <c r="N92" s="48">
        <f t="shared" si="28"/>
        <v>0</v>
      </c>
      <c r="O92" s="48">
        <f t="shared" si="29"/>
        <v>0.52033348764741527</v>
      </c>
      <c r="P92" s="48">
        <f t="shared" si="28"/>
        <v>0</v>
      </c>
      <c r="Q92" s="48">
        <f t="shared" si="28"/>
        <v>0</v>
      </c>
      <c r="R92" s="48">
        <f t="shared" si="28"/>
        <v>0</v>
      </c>
      <c r="S92" s="48">
        <f t="shared" si="30"/>
        <v>0.47424963707998485</v>
      </c>
      <c r="T92" s="48">
        <f t="shared" si="28"/>
        <v>5.4168752725998748E-3</v>
      </c>
      <c r="U92" s="25">
        <f t="shared" si="31"/>
        <v>1</v>
      </c>
      <c r="V92" s="17"/>
      <c r="X92" s="23">
        <v>2030</v>
      </c>
      <c r="Y92" s="111">
        <f>(C92-(N92*(1-'Future Type Share'!V31)))/'Future Type Share'!$V31</f>
        <v>0.2011399914840874</v>
      </c>
      <c r="Z92" s="111">
        <f>(D92-(O92*(1-'Future Type Share'!$V31)))/'Future Type Share'!$V31</f>
        <v>0.22514772058644503</v>
      </c>
      <c r="AA92" s="111">
        <f>(E92-(P92*(1-'Future Type Share'!$V31)))/'Future Type Share'!$V31</f>
        <v>4.8429110715498901E-2</v>
      </c>
      <c r="AB92" s="111">
        <f>(F92-(Q92*(1-'Future Type Share'!$V31)))/'Future Type Share'!$V31</f>
        <v>9.3797930074568173E-2</v>
      </c>
      <c r="AC92" s="111">
        <f>(G92-(R92*(1-'Future Type Share'!$V31)))/'Future Type Share'!$V31</f>
        <v>9.4180466494121873E-2</v>
      </c>
      <c r="AD92" s="111">
        <f>(H92-(S92*(1-'Future Type Share'!$V31)))/'Future Type Share'!$V31</f>
        <v>0.23070555732737436</v>
      </c>
      <c r="AE92" s="111">
        <f>(I92-(T92*(1-'Future Type Share'!$V31)))/'Future Type Share'!$V31</f>
        <v>0.10659922331790422</v>
      </c>
      <c r="AF92" s="25">
        <f t="shared" si="21"/>
        <v>1</v>
      </c>
    </row>
    <row r="93" spans="2:32">
      <c r="B93" s="23">
        <v>2031</v>
      </c>
      <c r="C93" s="111">
        <f t="shared" si="22"/>
        <v>0.14854053457183747</v>
      </c>
      <c r="D93" s="111">
        <f t="shared" si="23"/>
        <v>0.3003263026160532</v>
      </c>
      <c r="E93" s="17">
        <f t="shared" si="24"/>
        <v>3.6823734729493893E-2</v>
      </c>
      <c r="F93" s="111">
        <f t="shared" si="24"/>
        <v>7.1320535194880741E-2</v>
      </c>
      <c r="G93" s="111">
        <f t="shared" si="24"/>
        <v>7.1611401977894118E-2</v>
      </c>
      <c r="H93" s="111">
        <f t="shared" si="25"/>
        <v>0.28891785021010896</v>
      </c>
      <c r="I93" s="111">
        <f t="shared" si="26"/>
        <v>8.2459640699731634E-2</v>
      </c>
      <c r="J93" s="25">
        <f t="shared" si="27"/>
        <v>1</v>
      </c>
      <c r="M93" s="23">
        <v>2031</v>
      </c>
      <c r="N93" s="48">
        <f t="shared" si="28"/>
        <v>0</v>
      </c>
      <c r="O93" s="48">
        <f t="shared" si="29"/>
        <v>0.52172980886305842</v>
      </c>
      <c r="P93" s="48">
        <f t="shared" si="28"/>
        <v>0</v>
      </c>
      <c r="Q93" s="48">
        <f t="shared" si="28"/>
        <v>0</v>
      </c>
      <c r="R93" s="48">
        <f t="shared" si="28"/>
        <v>0</v>
      </c>
      <c r="S93" s="48">
        <f t="shared" si="30"/>
        <v>0.47274519157144901</v>
      </c>
      <c r="T93" s="48">
        <f t="shared" si="28"/>
        <v>5.5249995654925721E-3</v>
      </c>
      <c r="U93" s="25">
        <f t="shared" si="31"/>
        <v>1</v>
      </c>
      <c r="V93" s="17"/>
      <c r="X93" s="23">
        <v>2031</v>
      </c>
      <c r="Y93" s="111">
        <f>(C93-(N93*(1-'Future Type Share'!V32)))/'Future Type Share'!$V32</f>
        <v>0.19428607375626777</v>
      </c>
      <c r="Z93" s="111">
        <f>(D93-(O93*(1-'Future Type Share'!$V32)))/'Future Type Share'!$V32</f>
        <v>0.23214139403344403</v>
      </c>
      <c r="AA93" s="111">
        <f>(E93-(P93*(1-'Future Type Share'!$V32)))/'Future Type Share'!$V32</f>
        <v>4.8164219027875481E-2</v>
      </c>
      <c r="AB93" s="111">
        <f>(F93-(Q93*(1-'Future Type Share'!$V32)))/'Future Type Share'!$V32</f>
        <v>9.3284885510545548E-2</v>
      </c>
      <c r="AC93" s="111">
        <f>(G93-(R93*(1-'Future Type Share'!$V32)))/'Future Type Share'!$V32</f>
        <v>9.3665329578696221E-2</v>
      </c>
      <c r="AD93" s="111">
        <f>(H93-(S93*(1-'Future Type Share'!$V32)))/'Future Type Share'!$V32</f>
        <v>0.23230514936279975</v>
      </c>
      <c r="AE93" s="111">
        <f>(I93-(T93*(1-'Future Type Share'!$V32)))/'Future Type Share'!$V32</f>
        <v>0.10615294873037125</v>
      </c>
      <c r="AF93" s="25">
        <f t="shared" si="21"/>
        <v>1</v>
      </c>
    </row>
    <row r="94" spans="2:32">
      <c r="B94" s="23">
        <v>2032</v>
      </c>
      <c r="C94" s="111">
        <f t="shared" si="22"/>
        <v>0.14414153380068329</v>
      </c>
      <c r="D94" s="111">
        <f t="shared" si="23"/>
        <v>0.30476764082995977</v>
      </c>
      <c r="E94" s="17">
        <f t="shared" si="24"/>
        <v>3.6823734729493893E-2</v>
      </c>
      <c r="F94" s="111">
        <f t="shared" si="24"/>
        <v>7.1320535194880741E-2</v>
      </c>
      <c r="G94" s="111">
        <f t="shared" si="24"/>
        <v>7.1611401977894118E-2</v>
      </c>
      <c r="H94" s="111">
        <f t="shared" si="25"/>
        <v>0.28876812543576352</v>
      </c>
      <c r="I94" s="111">
        <f t="shared" si="26"/>
        <v>8.2567028031324707E-2</v>
      </c>
      <c r="J94" s="25">
        <f t="shared" si="27"/>
        <v>1</v>
      </c>
      <c r="M94" s="23">
        <v>2032</v>
      </c>
      <c r="N94" s="48">
        <f t="shared" si="28"/>
        <v>0</v>
      </c>
      <c r="O94" s="48">
        <f t="shared" si="29"/>
        <v>0.52312613007870201</v>
      </c>
      <c r="P94" s="48">
        <f t="shared" si="28"/>
        <v>0</v>
      </c>
      <c r="Q94" s="48">
        <f t="shared" si="28"/>
        <v>0</v>
      </c>
      <c r="R94" s="48">
        <f t="shared" si="28"/>
        <v>0</v>
      </c>
      <c r="S94" s="48">
        <f t="shared" si="30"/>
        <v>0.47124074606291272</v>
      </c>
      <c r="T94" s="48">
        <f t="shared" si="28"/>
        <v>5.6331238583852694E-3</v>
      </c>
      <c r="U94" s="25">
        <f t="shared" si="31"/>
        <v>1</v>
      </c>
      <c r="V94" s="17"/>
      <c r="X94" s="23">
        <v>2032</v>
      </c>
      <c r="Y94" s="111">
        <f>(C94-(N94*(1-'Future Type Share'!V33)))/'Future Type Share'!$V33</f>
        <v>0.18750672561583678</v>
      </c>
      <c r="Z94" s="111">
        <f>(D94-(O94*(1-'Future Type Share'!$V33)))/'Future Type Share'!$V33</f>
        <v>0.23907416913544705</v>
      </c>
      <c r="AA94" s="111">
        <f>(E94-(P94*(1-'Future Type Share'!$V33)))/'Future Type Share'!$V33</f>
        <v>4.7902209321716266E-2</v>
      </c>
      <c r="AB94" s="111">
        <f>(F94-(Q94*(1-'Future Type Share'!$V33)))/'Future Type Share'!$V33</f>
        <v>9.2777422793719005E-2</v>
      </c>
      <c r="AC94" s="111">
        <f>(G94-(R94*(1-'Future Type Share'!$V33)))/'Future Type Share'!$V33</f>
        <v>9.31557972749332E-2</v>
      </c>
      <c r="AD94" s="111">
        <f>(H94-(S94*(1-'Future Type Share'!$V33)))/'Future Type Share'!$V33</f>
        <v>0.23387096993961087</v>
      </c>
      <c r="AE94" s="111">
        <f>(I94-(T94*(1-'Future Type Share'!$V33)))/'Future Type Share'!$V33</f>
        <v>0.10571270591873692</v>
      </c>
      <c r="AF94" s="25">
        <f t="shared" si="21"/>
        <v>1</v>
      </c>
    </row>
    <row r="95" spans="2:32">
      <c r="B95" s="23">
        <v>2033</v>
      </c>
      <c r="C95" s="111">
        <f t="shared" si="22"/>
        <v>0.13974253302953077</v>
      </c>
      <c r="D95" s="111">
        <f t="shared" si="23"/>
        <v>0.30920897904386457</v>
      </c>
      <c r="E95" s="17">
        <f t="shared" si="24"/>
        <v>3.6823734729493893E-2</v>
      </c>
      <c r="F95" s="111">
        <f t="shared" si="24"/>
        <v>7.1320535194880741E-2</v>
      </c>
      <c r="G95" s="111">
        <f t="shared" si="24"/>
        <v>7.1611401977894118E-2</v>
      </c>
      <c r="H95" s="111">
        <f t="shared" si="25"/>
        <v>0.28861840066141808</v>
      </c>
      <c r="I95" s="111">
        <f t="shared" si="26"/>
        <v>8.267441536291778E-2</v>
      </c>
      <c r="J95" s="25">
        <f t="shared" si="27"/>
        <v>1</v>
      </c>
      <c r="M95" s="23">
        <v>2033</v>
      </c>
      <c r="N95" s="48">
        <f t="shared" ref="N95:T112" si="32">TREND(N$74:N$78,$M$74:$M$78,$M95)</f>
        <v>0</v>
      </c>
      <c r="O95" s="48">
        <f t="shared" si="29"/>
        <v>0.52452245129434516</v>
      </c>
      <c r="P95" s="48">
        <f t="shared" si="32"/>
        <v>0</v>
      </c>
      <c r="Q95" s="48">
        <f t="shared" si="32"/>
        <v>0</v>
      </c>
      <c r="R95" s="48">
        <f t="shared" si="32"/>
        <v>0</v>
      </c>
      <c r="S95" s="48">
        <f t="shared" si="30"/>
        <v>0.46973630055437687</v>
      </c>
      <c r="T95" s="48">
        <f t="shared" si="32"/>
        <v>5.741248151277939E-3</v>
      </c>
      <c r="U95" s="25">
        <f t="shared" si="31"/>
        <v>1</v>
      </c>
      <c r="V95" s="17"/>
      <c r="X95" s="23">
        <v>2033</v>
      </c>
      <c r="Y95" s="111">
        <f>(C95-(N95*(1-'Future Type Share'!V34)))/'Future Type Share'!$V34</f>
        <v>0.18080073668840718</v>
      </c>
      <c r="Z95" s="111">
        <f>(D95-(O95*(1-'Future Type Share'!$V34)))/'Future Type Share'!$V34</f>
        <v>0.24594703436241316</v>
      </c>
      <c r="AA95" s="111">
        <f>(E95-(P95*(1-'Future Type Share'!$V34)))/'Future Type Share'!$V34</f>
        <v>4.7643034818211319E-2</v>
      </c>
      <c r="AB95" s="111">
        <f>(F95-(Q95*(1-'Future Type Share'!$V34)))/'Future Type Share'!$V34</f>
        <v>9.2275451322475638E-2</v>
      </c>
      <c r="AC95" s="111">
        <f>(G95-(R95*(1-'Future Type Share'!$V34)))/'Future Type Share'!$V34</f>
        <v>9.2651778611719013E-2</v>
      </c>
      <c r="AD95" s="111">
        <f>(H95-(S95*(1-'Future Type Share'!$V34)))/'Future Type Share'!$V34</f>
        <v>0.23540356721839173</v>
      </c>
      <c r="AE95" s="111">
        <f>(I95-(T95*(1-'Future Type Share'!$V34)))/'Future Type Share'!$V34</f>
        <v>0.1052783969783819</v>
      </c>
      <c r="AF95" s="25">
        <f t="shared" si="21"/>
        <v>1</v>
      </c>
    </row>
    <row r="96" spans="2:32">
      <c r="B96" s="23">
        <v>2034</v>
      </c>
      <c r="C96" s="111">
        <f t="shared" si="22"/>
        <v>0.1353435322583767</v>
      </c>
      <c r="D96" s="111">
        <f t="shared" si="23"/>
        <v>0.31365031725777115</v>
      </c>
      <c r="E96" s="17">
        <f t="shared" si="24"/>
        <v>3.6823734729493893E-2</v>
      </c>
      <c r="F96" s="111">
        <f t="shared" si="24"/>
        <v>7.1320535194880741E-2</v>
      </c>
      <c r="G96" s="111">
        <f t="shared" si="24"/>
        <v>7.1611401977894118E-2</v>
      </c>
      <c r="H96" s="111">
        <f t="shared" si="25"/>
        <v>0.28846867588707259</v>
      </c>
      <c r="I96" s="111">
        <f t="shared" si="26"/>
        <v>8.2781802694510853E-2</v>
      </c>
      <c r="J96" s="25">
        <f t="shared" si="27"/>
        <v>1</v>
      </c>
      <c r="M96" s="23">
        <v>2034</v>
      </c>
      <c r="N96" s="48">
        <f t="shared" si="32"/>
        <v>0</v>
      </c>
      <c r="O96" s="48">
        <f t="shared" si="29"/>
        <v>0.52591877250998831</v>
      </c>
      <c r="P96" s="48">
        <f t="shared" si="32"/>
        <v>0</v>
      </c>
      <c r="Q96" s="48">
        <f t="shared" si="32"/>
        <v>0</v>
      </c>
      <c r="R96" s="48">
        <f t="shared" si="32"/>
        <v>0</v>
      </c>
      <c r="S96" s="48">
        <f t="shared" si="30"/>
        <v>0.46823185504584108</v>
      </c>
      <c r="T96" s="48">
        <f t="shared" si="32"/>
        <v>5.8493724441706363E-3</v>
      </c>
      <c r="U96" s="25">
        <f t="shared" si="31"/>
        <v>1</v>
      </c>
      <c r="V96" s="17"/>
      <c r="X96" s="23">
        <v>2034</v>
      </c>
      <c r="Y96" s="111">
        <f>(C96-(N96*(1-'Future Type Share'!V35)))/'Future Type Share'!$V35</f>
        <v>0.17416692265350292</v>
      </c>
      <c r="Z96" s="111">
        <f>(D96-(O96*(1-'Future Type Share'!$V35)))/'Future Type Share'!$V35</f>
        <v>0.2527609569069949</v>
      </c>
      <c r="AA96" s="111">
        <f>(E96-(P96*(1-'Future Type Share'!$V35)))/'Future Type Share'!$V35</f>
        <v>4.7386649745488139E-2</v>
      </c>
      <c r="AB96" s="111">
        <f>(F96-(Q96*(1-'Future Type Share'!$V35)))/'Future Type Share'!$V35</f>
        <v>9.1778882445447796E-2</v>
      </c>
      <c r="AC96" s="111">
        <f>(G96-(R96*(1-'Future Type Share'!$V35)))/'Future Type Share'!$V35</f>
        <v>9.2153184576138844E-2</v>
      </c>
      <c r="AD96" s="111">
        <f>(H96-(S96*(1-'Future Type Share'!$V35)))/'Future Type Share'!$V35</f>
        <v>0.23690347756029445</v>
      </c>
      <c r="AE96" s="111">
        <f>(I96-(T96*(1-'Future Type Share'!$V35)))/'Future Type Share'!$V35</f>
        <v>0.10484992611213297</v>
      </c>
      <c r="AF96" s="25">
        <f t="shared" si="21"/>
        <v>1</v>
      </c>
    </row>
    <row r="97" spans="2:32">
      <c r="B97" s="23">
        <v>2035</v>
      </c>
      <c r="C97" s="111">
        <f t="shared" si="22"/>
        <v>0.1309445314872224</v>
      </c>
      <c r="D97" s="111">
        <f t="shared" si="23"/>
        <v>0.31809165547167773</v>
      </c>
      <c r="E97" s="17">
        <f t="shared" si="24"/>
        <v>3.6823734729493893E-2</v>
      </c>
      <c r="F97" s="111">
        <f t="shared" si="24"/>
        <v>7.1320535194880741E-2</v>
      </c>
      <c r="G97" s="111">
        <f t="shared" si="24"/>
        <v>7.1611401977894118E-2</v>
      </c>
      <c r="H97" s="111">
        <f t="shared" si="25"/>
        <v>0.28831895111272715</v>
      </c>
      <c r="I97" s="111">
        <f t="shared" si="26"/>
        <v>8.2889190026103926E-2</v>
      </c>
      <c r="J97" s="25">
        <f t="shared" si="27"/>
        <v>1</v>
      </c>
      <c r="M97" s="23">
        <v>2035</v>
      </c>
      <c r="N97" s="48">
        <f t="shared" si="32"/>
        <v>0</v>
      </c>
      <c r="O97" s="48">
        <f t="shared" si="29"/>
        <v>0.5273150937256319</v>
      </c>
      <c r="P97" s="48">
        <f t="shared" si="32"/>
        <v>0</v>
      </c>
      <c r="Q97" s="48">
        <f t="shared" si="32"/>
        <v>0</v>
      </c>
      <c r="R97" s="48">
        <f t="shared" si="32"/>
        <v>0</v>
      </c>
      <c r="S97" s="48">
        <f t="shared" si="30"/>
        <v>0.46672740953730479</v>
      </c>
      <c r="T97" s="48">
        <f t="shared" si="32"/>
        <v>5.9574967370633058E-3</v>
      </c>
      <c r="U97" s="25">
        <f t="shared" si="31"/>
        <v>1</v>
      </c>
      <c r="V97" s="17"/>
      <c r="X97" s="23">
        <v>2035</v>
      </c>
      <c r="Y97" s="111">
        <f>(C97-(N97*(1-'Future Type Share'!V36)))/'Future Type Share'!$V36</f>
        <v>0.16760412454729409</v>
      </c>
      <c r="Z97" s="111">
        <f>(D97-(O97*(1-'Future Type Share'!$V36)))/'Future Type Share'!$V36</f>
        <v>0.25951688325396627</v>
      </c>
      <c r="AA97" s="111">
        <f>(E97-(P97*(1-'Future Type Share'!$V36)))/'Future Type Share'!$V36</f>
        <v>4.7133009311663088E-2</v>
      </c>
      <c r="AB97" s="111">
        <f>(F97-(Q97*(1-'Future Type Share'!$V36)))/'Future Type Share'!$V36</f>
        <v>9.1287629409319018E-2</v>
      </c>
      <c r="AC97" s="111">
        <f>(G97-(R97*(1-'Future Type Share'!$V36)))/'Future Type Share'!$V36</f>
        <v>9.1659928061069901E-2</v>
      </c>
      <c r="AD97" s="111">
        <f>(H97-(S97*(1-'Future Type Share'!$V36)))/'Future Type Share'!$V36</f>
        <v>0.23837122584282577</v>
      </c>
      <c r="AE97" s="111">
        <f>(I97-(T97*(1-'Future Type Share'!$V36)))/'Future Type Share'!$V36</f>
        <v>0.1044271995738618</v>
      </c>
      <c r="AF97" s="25">
        <f t="shared" si="21"/>
        <v>1</v>
      </c>
    </row>
    <row r="98" spans="2:32">
      <c r="B98" s="23">
        <v>2036</v>
      </c>
      <c r="C98" s="111">
        <f t="shared" si="22"/>
        <v>0.12654553071606811</v>
      </c>
      <c r="D98" s="111">
        <f t="shared" si="23"/>
        <v>0.3225329936855843</v>
      </c>
      <c r="E98" s="17">
        <f t="shared" si="24"/>
        <v>3.6823734729493893E-2</v>
      </c>
      <c r="F98" s="111">
        <f t="shared" si="24"/>
        <v>7.1320535194880741E-2</v>
      </c>
      <c r="G98" s="111">
        <f t="shared" si="24"/>
        <v>7.1611401977894118E-2</v>
      </c>
      <c r="H98" s="111">
        <f t="shared" si="25"/>
        <v>0.28816922633838171</v>
      </c>
      <c r="I98" s="111">
        <f t="shared" si="26"/>
        <v>8.2996577357696999E-2</v>
      </c>
      <c r="J98" s="25">
        <f t="shared" si="27"/>
        <v>1</v>
      </c>
      <c r="M98" s="23">
        <v>2036</v>
      </c>
      <c r="N98" s="48">
        <f t="shared" si="32"/>
        <v>0</v>
      </c>
      <c r="O98" s="48">
        <f t="shared" si="29"/>
        <v>0.52871141494127505</v>
      </c>
      <c r="P98" s="48">
        <f t="shared" si="32"/>
        <v>0</v>
      </c>
      <c r="Q98" s="48">
        <f t="shared" si="32"/>
        <v>0</v>
      </c>
      <c r="R98" s="48">
        <f t="shared" si="32"/>
        <v>0</v>
      </c>
      <c r="S98" s="48">
        <f t="shared" si="30"/>
        <v>0.46522296402876895</v>
      </c>
      <c r="T98" s="48">
        <f t="shared" si="32"/>
        <v>6.0656210299560032E-3</v>
      </c>
      <c r="U98" s="25">
        <f t="shared" si="31"/>
        <v>1</v>
      </c>
      <c r="V98" s="17"/>
      <c r="X98" s="23">
        <v>2036</v>
      </c>
      <c r="Y98" s="111">
        <f>(C98-(N98*(1-'Future Type Share'!V37)))/'Future Type Share'!$V37</f>
        <v>0.16111120808758658</v>
      </c>
      <c r="Z98" s="111">
        <f>(D98-(O98*(1-'Future Type Share'!$V37)))/'Future Type Share'!$V37</f>
        <v>0.26621573973148377</v>
      </c>
      <c r="AA98" s="111">
        <f>(E98-(P98*(1-'Future Type Share'!$V37)))/'Future Type Share'!$V37</f>
        <v>4.688206967875376E-2</v>
      </c>
      <c r="AB98" s="111">
        <f>(F98-(Q98*(1-'Future Type Share'!$V37)))/'Future Type Share'!$V37</f>
        <v>9.0801607308297172E-2</v>
      </c>
      <c r="AC98" s="111">
        <f>(G98-(R98*(1-'Future Type Share'!$V37)))/'Future Type Share'!$V37</f>
        <v>9.1171923814448455E-2</v>
      </c>
      <c r="AD98" s="111">
        <f>(H98-(S98*(1-'Future Type Share'!$V37)))/'Future Type Share'!$V37</f>
        <v>0.23980732576554464</v>
      </c>
      <c r="AE98" s="111">
        <f>(I98-(T98*(1-'Future Type Share'!$V37)))/'Future Type Share'!$V37</f>
        <v>0.10401012561388544</v>
      </c>
      <c r="AF98" s="25">
        <f t="shared" si="21"/>
        <v>0.99999999999999989</v>
      </c>
    </row>
    <row r="99" spans="2:32">
      <c r="B99" s="23">
        <v>2037</v>
      </c>
      <c r="C99" s="111">
        <f t="shared" si="22"/>
        <v>0.12214652994491404</v>
      </c>
      <c r="D99" s="111">
        <f t="shared" si="23"/>
        <v>0.32697433189949088</v>
      </c>
      <c r="E99" s="17">
        <f t="shared" si="24"/>
        <v>3.6823734729493893E-2</v>
      </c>
      <c r="F99" s="111">
        <f t="shared" si="24"/>
        <v>7.1320535194880741E-2</v>
      </c>
      <c r="G99" s="111">
        <f t="shared" si="24"/>
        <v>7.1611401977894118E-2</v>
      </c>
      <c r="H99" s="111">
        <f t="shared" si="25"/>
        <v>0.28801950156403622</v>
      </c>
      <c r="I99" s="111">
        <f t="shared" si="26"/>
        <v>8.3103964689290072E-2</v>
      </c>
      <c r="J99" s="25">
        <f t="shared" si="27"/>
        <v>1</v>
      </c>
      <c r="M99" s="23">
        <v>2037</v>
      </c>
      <c r="N99" s="48">
        <f t="shared" si="32"/>
        <v>0</v>
      </c>
      <c r="O99" s="48">
        <f t="shared" si="29"/>
        <v>0.53010773615691864</v>
      </c>
      <c r="P99" s="48">
        <f t="shared" si="32"/>
        <v>0</v>
      </c>
      <c r="Q99" s="48">
        <f t="shared" si="32"/>
        <v>0</v>
      </c>
      <c r="R99" s="48">
        <f t="shared" si="32"/>
        <v>0</v>
      </c>
      <c r="S99" s="48">
        <f t="shared" si="30"/>
        <v>0.46371851852023271</v>
      </c>
      <c r="T99" s="48">
        <f t="shared" si="32"/>
        <v>6.1737453228486727E-3</v>
      </c>
      <c r="U99" s="25">
        <f t="shared" si="31"/>
        <v>1</v>
      </c>
      <c r="V99" s="17"/>
      <c r="X99" s="23">
        <v>2037</v>
      </c>
      <c r="Y99" s="111">
        <f>(C99-(N99*(1-'Future Type Share'!V38)))/'Future Type Share'!$V38</f>
        <v>0.15468706302026861</v>
      </c>
      <c r="Z99" s="111">
        <f>(D99-(O99*(1-'Future Type Share'!$V38)))/'Future Type Share'!$V38</f>
        <v>0.27285843304481833</v>
      </c>
      <c r="AA99" s="111">
        <f>(E99-(P99*(1-'Future Type Share'!$V38)))/'Future Type Share'!$V38</f>
        <v>4.6633787937420269E-2</v>
      </c>
      <c r="AB99" s="111">
        <f>(F99-(Q99*(1-'Future Type Share'!$V38)))/'Future Type Share'!$V38</f>
        <v>9.0320733035193113E-2</v>
      </c>
      <c r="AC99" s="111">
        <f>(G99-(R99*(1-'Future Type Share'!$V38)))/'Future Type Share'!$V38</f>
        <v>9.0689088390149039E-2</v>
      </c>
      <c r="AD99" s="111">
        <f>(H99-(S99*(1-'Future Type Share'!$V38)))/'Future Type Share'!$V38</f>
        <v>0.24121228014604898</v>
      </c>
      <c r="AE99" s="111">
        <f>(I99-(T99*(1-'Future Type Share'!$V38)))/'Future Type Share'!$V38</f>
        <v>0.10359861442610156</v>
      </c>
      <c r="AF99" s="25">
        <f t="shared" si="21"/>
        <v>0.99999999999999989</v>
      </c>
    </row>
    <row r="100" spans="2:32">
      <c r="B100" s="23">
        <v>2038</v>
      </c>
      <c r="C100" s="111">
        <f t="shared" si="22"/>
        <v>0.11774752917375986</v>
      </c>
      <c r="D100" s="111">
        <f t="shared" si="23"/>
        <v>0.33141567011339745</v>
      </c>
      <c r="E100" s="17">
        <f t="shared" si="24"/>
        <v>3.6823734729493893E-2</v>
      </c>
      <c r="F100" s="111">
        <f t="shared" si="24"/>
        <v>7.1320535194880741E-2</v>
      </c>
      <c r="G100" s="111">
        <f t="shared" si="24"/>
        <v>7.1611401977894118E-2</v>
      </c>
      <c r="H100" s="111">
        <f t="shared" si="25"/>
        <v>0.28786977678969078</v>
      </c>
      <c r="I100" s="111">
        <f t="shared" si="26"/>
        <v>8.3211352020883145E-2</v>
      </c>
      <c r="J100" s="25">
        <f t="shared" si="27"/>
        <v>0.99999999999999989</v>
      </c>
      <c r="M100" s="23">
        <v>2038</v>
      </c>
      <c r="N100" s="48">
        <f t="shared" si="32"/>
        <v>0</v>
      </c>
      <c r="O100" s="48">
        <f t="shared" si="29"/>
        <v>0.53150405737256179</v>
      </c>
      <c r="P100" s="48">
        <f t="shared" si="32"/>
        <v>0</v>
      </c>
      <c r="Q100" s="48">
        <f t="shared" si="32"/>
        <v>0</v>
      </c>
      <c r="R100" s="48">
        <f t="shared" si="32"/>
        <v>0</v>
      </c>
      <c r="S100" s="48">
        <f t="shared" si="30"/>
        <v>0.46221407301169681</v>
      </c>
      <c r="T100" s="48">
        <f t="shared" si="32"/>
        <v>6.28186961574137E-3</v>
      </c>
      <c r="U100" s="25">
        <f t="shared" si="31"/>
        <v>1</v>
      </c>
      <c r="V100" s="17"/>
      <c r="X100" s="23">
        <v>2038</v>
      </c>
      <c r="Y100" s="111">
        <f>(C100-(N100*(1-'Future Type Share'!V39)))/'Future Type Share'!$V39</f>
        <v>0.14833060248641286</v>
      </c>
      <c r="Z100" s="111">
        <f>(D100-(O100*(1-'Future Type Share'!$V39)))/'Future Type Share'!$V39</f>
        <v>0.27944585079322076</v>
      </c>
      <c r="AA100" s="111">
        <f>(E100-(P100*(1-'Future Type Share'!$V39)))/'Future Type Share'!$V39</f>
        <v>4.6388122082504854E-2</v>
      </c>
      <c r="AB100" s="111">
        <f>(F100-(Q100*(1-'Future Type Share'!$V39)))/'Future Type Share'!$V39</f>
        <v>8.9844925234045733E-2</v>
      </c>
      <c r="AC100" s="111">
        <f>(G100-(R100*(1-'Future Type Share'!$V39)))/'Future Type Share'!$V39</f>
        <v>9.0211340100416232E-2</v>
      </c>
      <c r="AD100" s="111">
        <f>(H100-(S100*(1-'Future Type Share'!$V39)))/'Future Type Share'!$V39</f>
        <v>0.2425865812066047</v>
      </c>
      <c r="AE100" s="111">
        <f>(I100-(T100*(1-'Future Type Share'!$V39)))/'Future Type Share'!$V39</f>
        <v>0.1031925780967948</v>
      </c>
      <c r="AF100" s="25">
        <f t="shared" si="21"/>
        <v>1</v>
      </c>
    </row>
    <row r="101" spans="2:32">
      <c r="B101" s="23">
        <v>2039</v>
      </c>
      <c r="C101" s="111">
        <f t="shared" si="22"/>
        <v>0.11334852840260556</v>
      </c>
      <c r="D101" s="111">
        <f t="shared" si="23"/>
        <v>0.33585700832730403</v>
      </c>
      <c r="E101" s="17">
        <f t="shared" si="24"/>
        <v>3.6823734729493893E-2</v>
      </c>
      <c r="F101" s="111">
        <f t="shared" si="24"/>
        <v>7.1320535194880741E-2</v>
      </c>
      <c r="G101" s="111">
        <f t="shared" si="24"/>
        <v>7.1611401977894118E-2</v>
      </c>
      <c r="H101" s="111">
        <f t="shared" si="25"/>
        <v>0.28772005201534534</v>
      </c>
      <c r="I101" s="111">
        <f t="shared" si="26"/>
        <v>8.3318739352476218E-2</v>
      </c>
      <c r="J101" s="25">
        <f t="shared" si="27"/>
        <v>0.99999999999999989</v>
      </c>
      <c r="M101" s="23">
        <v>2039</v>
      </c>
      <c r="N101" s="48">
        <f t="shared" si="32"/>
        <v>0</v>
      </c>
      <c r="O101" s="48">
        <f t="shared" si="29"/>
        <v>0.53290037858820494</v>
      </c>
      <c r="P101" s="48">
        <f t="shared" si="32"/>
        <v>0</v>
      </c>
      <c r="Q101" s="48">
        <f t="shared" si="32"/>
        <v>0</v>
      </c>
      <c r="R101" s="48">
        <f t="shared" si="32"/>
        <v>0</v>
      </c>
      <c r="S101" s="48">
        <f t="shared" si="30"/>
        <v>0.46070962750316102</v>
      </c>
      <c r="T101" s="48">
        <f t="shared" si="32"/>
        <v>6.3899939086340396E-3</v>
      </c>
      <c r="U101" s="25">
        <f t="shared" si="31"/>
        <v>1</v>
      </c>
      <c r="V101" s="17"/>
      <c r="X101" s="23">
        <v>2039</v>
      </c>
      <c r="Y101" s="111">
        <f>(C101-(N101*(1-'Future Type Share'!V40)))/'Future Type Share'!$V40</f>
        <v>0.14204076240927999</v>
      </c>
      <c r="Z101" s="111">
        <f>(D101-(O101*(1-'Future Type Share'!$V40)))/'Future Type Share'!$V40</f>
        <v>0.28597886197053496</v>
      </c>
      <c r="AA101" s="111">
        <f>(E101-(P101*(1-'Future Type Share'!$V40)))/'Future Type Share'!$V40</f>
        <v>4.6145030989340662E-2</v>
      </c>
      <c r="AB101" s="111">
        <f>(F101-(Q101*(1-'Future Type Share'!$V40)))/'Future Type Share'!$V40</f>
        <v>8.9374104254236419E-2</v>
      </c>
      <c r="AC101" s="111">
        <f>(G101-(R101*(1-'Future Type Share'!$V40)))/'Future Type Share'!$V40</f>
        <v>8.9738598969792027E-2</v>
      </c>
      <c r="AD101" s="111">
        <f>(H101-(S101*(1-'Future Type Share'!$V40)))/'Future Type Share'!$V40</f>
        <v>0.24393071085176318</v>
      </c>
      <c r="AE101" s="111">
        <f>(I101-(T101*(1-'Future Type Share'!$V40)))/'Future Type Share'!$V40</f>
        <v>0.10279193055505269</v>
      </c>
      <c r="AF101" s="25">
        <f t="shared" si="21"/>
        <v>1</v>
      </c>
    </row>
    <row r="102" spans="2:32">
      <c r="B102" s="23">
        <v>2040</v>
      </c>
      <c r="C102" s="111">
        <f t="shared" si="22"/>
        <v>0.10894952763145138</v>
      </c>
      <c r="D102" s="111">
        <f t="shared" si="23"/>
        <v>0.34029834654121061</v>
      </c>
      <c r="E102" s="17">
        <f t="shared" si="24"/>
        <v>3.6823734729493893E-2</v>
      </c>
      <c r="F102" s="111">
        <f t="shared" si="24"/>
        <v>7.1320535194880741E-2</v>
      </c>
      <c r="G102" s="111">
        <f t="shared" si="24"/>
        <v>7.1611401977894118E-2</v>
      </c>
      <c r="H102" s="111">
        <f t="shared" si="25"/>
        <v>0.2875703272409999</v>
      </c>
      <c r="I102" s="111">
        <f t="shared" si="26"/>
        <v>8.3426126684069291E-2</v>
      </c>
      <c r="J102" s="25">
        <f t="shared" si="27"/>
        <v>1</v>
      </c>
      <c r="M102" s="23">
        <v>2040</v>
      </c>
      <c r="N102" s="48">
        <f t="shared" si="32"/>
        <v>0</v>
      </c>
      <c r="O102" s="48">
        <f t="shared" si="29"/>
        <v>0.53429669980384853</v>
      </c>
      <c r="P102" s="48">
        <f t="shared" si="32"/>
        <v>0</v>
      </c>
      <c r="Q102" s="48">
        <f t="shared" si="32"/>
        <v>0</v>
      </c>
      <c r="R102" s="48">
        <f t="shared" si="32"/>
        <v>0</v>
      </c>
      <c r="S102" s="48">
        <f t="shared" si="30"/>
        <v>0.45920518199462473</v>
      </c>
      <c r="T102" s="48">
        <f t="shared" si="32"/>
        <v>6.4981182015267369E-3</v>
      </c>
      <c r="U102" s="25">
        <f t="shared" si="31"/>
        <v>1</v>
      </c>
      <c r="V102" s="17"/>
      <c r="X102" s="23">
        <v>2040</v>
      </c>
      <c r="Y102" s="111">
        <f>(C102-(N102*(1-'Future Type Share'!V41)))/'Future Type Share'!$V41</f>
        <v>0.13581650090049452</v>
      </c>
      <c r="Z102" s="111">
        <f>(D102-(O102*(1-'Future Type Share'!$V41)))/'Future Type Share'!$V41</f>
        <v>0.29245831745015244</v>
      </c>
      <c r="AA102" s="111">
        <f>(E102-(P102*(1-'Future Type Share'!$V41)))/'Future Type Share'!$V41</f>
        <v>4.5904474390801482E-2</v>
      </c>
      <c r="AB102" s="111">
        <f>(F102-(Q102*(1-'Future Type Share'!$V41)))/'Future Type Share'!$V41</f>
        <v>8.8908192106038883E-2</v>
      </c>
      <c r="AC102" s="111">
        <f>(G102-(R102*(1-'Future Type Share'!$V41)))/'Future Type Share'!$V41</f>
        <v>8.9270786690484397E-2</v>
      </c>
      <c r="AD102" s="111">
        <f>(H102-(S102*(1-'Future Type Share'!$V41)))/'Future Type Share'!$V41</f>
        <v>0.2452451409372958</v>
      </c>
      <c r="AE102" s="111">
        <f>(I102-(T102*(1-'Future Type Share'!$V41)))/'Future Type Share'!$V41</f>
        <v>0.10239658752473244</v>
      </c>
      <c r="AF102" s="25">
        <f t="shared" si="21"/>
        <v>0.99999999999999989</v>
      </c>
    </row>
    <row r="103" spans="2:32">
      <c r="B103" s="23">
        <v>2041</v>
      </c>
      <c r="C103" s="111">
        <f t="shared" si="22"/>
        <v>0.10455052686029731</v>
      </c>
      <c r="D103" s="111">
        <f t="shared" si="23"/>
        <v>0.34473968475511718</v>
      </c>
      <c r="E103" s="17">
        <f t="shared" si="24"/>
        <v>3.6823734729493893E-2</v>
      </c>
      <c r="F103" s="111">
        <f t="shared" si="24"/>
        <v>7.1320535194880741E-2</v>
      </c>
      <c r="G103" s="111">
        <f t="shared" si="24"/>
        <v>7.1611401977894118E-2</v>
      </c>
      <c r="H103" s="111">
        <f t="shared" si="25"/>
        <v>0.28742060246665441</v>
      </c>
      <c r="I103" s="111">
        <f t="shared" si="26"/>
        <v>8.3533514015662363E-2</v>
      </c>
      <c r="J103" s="25">
        <f t="shared" si="27"/>
        <v>1</v>
      </c>
      <c r="M103" s="23">
        <v>2041</v>
      </c>
      <c r="N103" s="48">
        <f t="shared" si="32"/>
        <v>0</v>
      </c>
      <c r="O103" s="48">
        <f t="shared" si="29"/>
        <v>0.53569302101949168</v>
      </c>
      <c r="P103" s="48">
        <f t="shared" si="32"/>
        <v>0</v>
      </c>
      <c r="Q103" s="48">
        <f t="shared" si="32"/>
        <v>0</v>
      </c>
      <c r="R103" s="48">
        <f t="shared" si="32"/>
        <v>0</v>
      </c>
      <c r="S103" s="48">
        <f t="shared" si="30"/>
        <v>0.45770073648608889</v>
      </c>
      <c r="T103" s="48">
        <f t="shared" si="32"/>
        <v>6.6062424944194065E-3</v>
      </c>
      <c r="U103" s="25">
        <f t="shared" si="31"/>
        <v>1</v>
      </c>
      <c r="V103" s="17"/>
      <c r="X103" s="23">
        <v>2041</v>
      </c>
      <c r="Y103" s="111">
        <f>(C103-(N103*(1-'Future Type Share'!V42)))/'Future Type Share'!$V42</f>
        <v>0.12965679768469801</v>
      </c>
      <c r="Z103" s="111">
        <f>(D103-(O103*(1-'Future Type Share'!$V42)))/'Future Type Share'!$V42</f>
        <v>0.29888505045487829</v>
      </c>
      <c r="AA103" s="111">
        <f>(E103-(P103*(1-'Future Type Share'!$V42)))/'Future Type Share'!$V42</f>
        <v>4.5666412855065744E-2</v>
      </c>
      <c r="AB103" s="111">
        <f>(F103-(Q103*(1-'Future Type Share'!$V42)))/'Future Type Share'!$V42</f>
        <v>8.8447112417552279E-2</v>
      </c>
      <c r="AC103" s="111">
        <f>(G103-(R103*(1-'Future Type Share'!$V42)))/'Future Type Share'!$V42</f>
        <v>8.8807826579124685E-2</v>
      </c>
      <c r="AD103" s="111">
        <f>(H103-(S103*(1-'Future Type Share'!$V42)))/'Future Type Share'!$V42</f>
        <v>0.24653033353075846</v>
      </c>
      <c r="AE103" s="111">
        <f>(I103-(T103*(1-'Future Type Share'!$V42)))/'Future Type Share'!$V42</f>
        <v>0.10200646647792258</v>
      </c>
      <c r="AF103" s="25">
        <f t="shared" si="21"/>
        <v>1</v>
      </c>
    </row>
    <row r="104" spans="2:32">
      <c r="B104" s="23">
        <v>2042</v>
      </c>
      <c r="C104" s="111">
        <f t="shared" si="22"/>
        <v>0.10015152608914302</v>
      </c>
      <c r="D104" s="111">
        <f t="shared" si="23"/>
        <v>0.34918102296902376</v>
      </c>
      <c r="E104" s="17">
        <f t="shared" si="24"/>
        <v>3.6823734729493893E-2</v>
      </c>
      <c r="F104" s="111">
        <f t="shared" si="24"/>
        <v>7.1320535194880741E-2</v>
      </c>
      <c r="G104" s="111">
        <f t="shared" si="24"/>
        <v>7.1611401977894118E-2</v>
      </c>
      <c r="H104" s="111">
        <f t="shared" si="25"/>
        <v>0.28727087769230897</v>
      </c>
      <c r="I104" s="111">
        <f t="shared" si="26"/>
        <v>8.3640901347255436E-2</v>
      </c>
      <c r="J104" s="25">
        <f t="shared" si="27"/>
        <v>1</v>
      </c>
      <c r="M104" s="23">
        <v>2042</v>
      </c>
      <c r="N104" s="48">
        <f t="shared" si="32"/>
        <v>0</v>
      </c>
      <c r="O104" s="48">
        <f t="shared" si="29"/>
        <v>0.53708934223513527</v>
      </c>
      <c r="P104" s="48">
        <f t="shared" si="32"/>
        <v>0</v>
      </c>
      <c r="Q104" s="48">
        <f t="shared" si="32"/>
        <v>0</v>
      </c>
      <c r="R104" s="48">
        <f t="shared" si="32"/>
        <v>0</v>
      </c>
      <c r="S104" s="48">
        <f t="shared" si="30"/>
        <v>0.45619629097755265</v>
      </c>
      <c r="T104" s="48">
        <f t="shared" si="32"/>
        <v>6.7143667873121038E-3</v>
      </c>
      <c r="U104" s="25">
        <f t="shared" si="31"/>
        <v>1</v>
      </c>
      <c r="V104" s="17"/>
      <c r="X104" s="23">
        <v>2042</v>
      </c>
      <c r="Y104" s="111">
        <f>(C104-(N104*(1-'Future Type Share'!V43)))/'Future Type Share'!$V43</f>
        <v>0.12356065354201143</v>
      </c>
      <c r="Z104" s="111">
        <f>(D104-(O104*(1-'Future Type Share'!$V43)))/'Future Type Share'!$V43</f>
        <v>0.30525987701225193</v>
      </c>
      <c r="AA104" s="111">
        <f>(E104-(P104*(1-'Future Type Share'!$V43)))/'Future Type Share'!$V43</f>
        <v>4.5430807764068312E-2</v>
      </c>
      <c r="AB104" s="111">
        <f>(F104-(Q104*(1-'Future Type Share'!$V43)))/'Future Type Share'!$V43</f>
        <v>8.7990790392966423E-2</v>
      </c>
      <c r="AC104" s="111">
        <f>(G104-(R104*(1-'Future Type Share'!$V43)))/'Future Type Share'!$V43</f>
        <v>8.8349643534862701E-2</v>
      </c>
      <c r="AD104" s="111">
        <f>(H104-(S104*(1-'Future Type Share'!$V43)))/'Future Type Share'!$V43</f>
        <v>0.24778674116399479</v>
      </c>
      <c r="AE104" s="111">
        <f>(I104-(T104*(1-'Future Type Share'!$V43)))/'Future Type Share'!$V43</f>
        <v>0.10162148658984431</v>
      </c>
      <c r="AF104" s="25">
        <f t="shared" si="21"/>
        <v>1</v>
      </c>
    </row>
    <row r="105" spans="2:32">
      <c r="B105" s="23">
        <v>2043</v>
      </c>
      <c r="C105" s="111">
        <f t="shared" si="22"/>
        <v>9.57525253179905E-2</v>
      </c>
      <c r="D105" s="111">
        <f t="shared" si="23"/>
        <v>0.35362236118292856</v>
      </c>
      <c r="E105" s="17">
        <f t="shared" si="24"/>
        <v>3.6823734729493893E-2</v>
      </c>
      <c r="F105" s="111">
        <f t="shared" si="24"/>
        <v>7.1320535194880741E-2</v>
      </c>
      <c r="G105" s="111">
        <f t="shared" si="24"/>
        <v>7.1611401977894118E-2</v>
      </c>
      <c r="H105" s="111">
        <f t="shared" si="25"/>
        <v>0.28712115291796353</v>
      </c>
      <c r="I105" s="111">
        <f t="shared" si="26"/>
        <v>8.3748288678848509E-2</v>
      </c>
      <c r="J105" s="25">
        <f t="shared" si="27"/>
        <v>1</v>
      </c>
      <c r="M105" s="23">
        <v>2043</v>
      </c>
      <c r="N105" s="48">
        <f t="shared" si="32"/>
        <v>0</v>
      </c>
      <c r="O105" s="48">
        <f t="shared" si="29"/>
        <v>0.53848566345077842</v>
      </c>
      <c r="P105" s="48">
        <f t="shared" si="32"/>
        <v>0</v>
      </c>
      <c r="Q105" s="48">
        <f t="shared" si="32"/>
        <v>0</v>
      </c>
      <c r="R105" s="48">
        <f t="shared" si="32"/>
        <v>0</v>
      </c>
      <c r="S105" s="48">
        <f t="shared" si="30"/>
        <v>0.45469184546901681</v>
      </c>
      <c r="T105" s="48">
        <f t="shared" si="32"/>
        <v>6.8224910802047734E-3</v>
      </c>
      <c r="U105" s="25">
        <f t="shared" si="31"/>
        <v>1</v>
      </c>
      <c r="V105" s="17"/>
      <c r="X105" s="23">
        <v>2043</v>
      </c>
      <c r="Y105" s="111">
        <f>(C105-(N105*(1-'Future Type Share'!V44)))/'Future Type Share'!$V44</f>
        <v>0.11752708976767419</v>
      </c>
      <c r="Z105" s="111">
        <f>(D105-(O105*(1-'Future Type Share'!$V44)))/'Future Type Share'!$V44</f>
        <v>0.31158359639584099</v>
      </c>
      <c r="AA105" s="111">
        <f>(E105-(P105*(1-'Future Type Share'!$V44)))/'Future Type Share'!$V44</f>
        <v>4.5197621292616945E-2</v>
      </c>
      <c r="AB105" s="111">
        <f>(F105-(Q105*(1-'Future Type Share'!$V44)))/'Future Type Share'!$V44</f>
        <v>8.7539152772114326E-2</v>
      </c>
      <c r="AC105" s="111">
        <f>(G105-(R105*(1-'Future Type Share'!$V44)))/'Future Type Share'!$V44</f>
        <v>8.7896163998754259E-2</v>
      </c>
      <c r="AD105" s="111">
        <f>(H105-(S105*(1-'Future Type Share'!$V44)))/'Future Type Share'!$V44</f>
        <v>0.24901480707785556</v>
      </c>
      <c r="AE105" s="111">
        <f>(I105-(T105*(1-'Future Type Share'!$V44)))/'Future Type Share'!$V44</f>
        <v>0.10124156869514359</v>
      </c>
      <c r="AF105" s="25">
        <f t="shared" si="21"/>
        <v>0.99999999999999978</v>
      </c>
    </row>
    <row r="106" spans="2:32">
      <c r="B106" s="23">
        <v>2044</v>
      </c>
      <c r="C106" s="111">
        <f t="shared" si="22"/>
        <v>9.1353524546836429E-2</v>
      </c>
      <c r="D106" s="111">
        <f t="shared" si="23"/>
        <v>0.35806369939683513</v>
      </c>
      <c r="E106" s="17">
        <f t="shared" si="24"/>
        <v>3.6823734729493893E-2</v>
      </c>
      <c r="F106" s="111">
        <f t="shared" si="24"/>
        <v>7.1320535194880741E-2</v>
      </c>
      <c r="G106" s="111">
        <f t="shared" si="24"/>
        <v>7.1611401977894118E-2</v>
      </c>
      <c r="H106" s="111">
        <f t="shared" si="25"/>
        <v>0.28697142814361803</v>
      </c>
      <c r="I106" s="111">
        <f t="shared" si="26"/>
        <v>8.3855676010441582E-2</v>
      </c>
      <c r="J106" s="25">
        <f t="shared" si="27"/>
        <v>1</v>
      </c>
      <c r="M106" s="23">
        <v>2044</v>
      </c>
      <c r="N106" s="48">
        <f t="shared" si="32"/>
        <v>0</v>
      </c>
      <c r="O106" s="48">
        <f t="shared" si="29"/>
        <v>0.53988198466642157</v>
      </c>
      <c r="P106" s="48">
        <f t="shared" si="32"/>
        <v>0</v>
      </c>
      <c r="Q106" s="48">
        <f t="shared" si="32"/>
        <v>0</v>
      </c>
      <c r="R106" s="48">
        <f t="shared" si="32"/>
        <v>0</v>
      </c>
      <c r="S106" s="48">
        <f t="shared" si="30"/>
        <v>0.45318739996048096</v>
      </c>
      <c r="T106" s="48">
        <f t="shared" si="32"/>
        <v>6.9306153730974707E-3</v>
      </c>
      <c r="U106" s="25">
        <f t="shared" si="31"/>
        <v>1</v>
      </c>
      <c r="V106" s="17"/>
      <c r="X106" s="23">
        <v>2044</v>
      </c>
      <c r="Y106" s="111">
        <f>(C106-(N106*(1-'Future Type Share'!V45)))/'Future Type Share'!$V45</f>
        <v>0.11155514764822393</v>
      </c>
      <c r="Z106" s="111">
        <f>(D106-(O106*(1-'Future Type Share'!$V45)))/'Future Type Share'!$V45</f>
        <v>0.31785699155302777</v>
      </c>
      <c r="AA106" s="111">
        <f>(E106-(P106*(1-'Future Type Share'!$V45)))/'Future Type Share'!$V45</f>
        <v>4.4966816388147535E-2</v>
      </c>
      <c r="AB106" s="111">
        <f>(F106-(Q106*(1-'Future Type Share'!$V45)))/'Future Type Share'!$V45</f>
        <v>8.7092127791262033E-2</v>
      </c>
      <c r="AC106" s="111">
        <f>(G106-(R106*(1-'Future Type Share'!$V45)))/'Future Type Share'!$V45</f>
        <v>8.7447315914391158E-2</v>
      </c>
      <c r="AD106" s="111">
        <f>(H106-(S106*(1-'Future Type Share'!$V45)))/'Future Type Share'!$V45</f>
        <v>0.25021496545942712</v>
      </c>
      <c r="AE106" s="111">
        <f>(I106-(T106*(1-'Future Type Share'!$V45)))/'Future Type Share'!$V45</f>
        <v>0.10086663524552038</v>
      </c>
      <c r="AF106" s="25">
        <f t="shared" si="21"/>
        <v>1</v>
      </c>
    </row>
    <row r="107" spans="2:32">
      <c r="B107" s="23">
        <v>2045</v>
      </c>
      <c r="C107" s="111">
        <f t="shared" si="22"/>
        <v>8.6954523775682246E-2</v>
      </c>
      <c r="D107" s="111">
        <f t="shared" si="23"/>
        <v>0.36250503761074171</v>
      </c>
      <c r="E107" s="17">
        <f t="shared" si="24"/>
        <v>3.6823734729493893E-2</v>
      </c>
      <c r="F107" s="111">
        <f t="shared" si="24"/>
        <v>7.1320535194880741E-2</v>
      </c>
      <c r="G107" s="111">
        <f t="shared" si="24"/>
        <v>7.1611401977894118E-2</v>
      </c>
      <c r="H107" s="111">
        <f t="shared" si="25"/>
        <v>0.2868217033692726</v>
      </c>
      <c r="I107" s="111">
        <f t="shared" si="26"/>
        <v>8.3963063342034655E-2</v>
      </c>
      <c r="J107" s="25">
        <f t="shared" si="27"/>
        <v>0.99999999999999989</v>
      </c>
      <c r="M107" s="23">
        <v>2045</v>
      </c>
      <c r="N107" s="48">
        <f t="shared" si="32"/>
        <v>0</v>
      </c>
      <c r="O107" s="48">
        <f t="shared" si="29"/>
        <v>0.54127830588206516</v>
      </c>
      <c r="P107" s="48">
        <f t="shared" si="32"/>
        <v>0</v>
      </c>
      <c r="Q107" s="48">
        <f t="shared" si="32"/>
        <v>0</v>
      </c>
      <c r="R107" s="48">
        <f t="shared" si="32"/>
        <v>0</v>
      </c>
      <c r="S107" s="48">
        <f t="shared" si="30"/>
        <v>0.45168295445194473</v>
      </c>
      <c r="T107" s="48">
        <f t="shared" si="32"/>
        <v>7.0387396659901402E-3</v>
      </c>
      <c r="U107" s="25">
        <f t="shared" si="31"/>
        <v>1</v>
      </c>
      <c r="V107" s="17"/>
      <c r="X107" s="23">
        <v>2045</v>
      </c>
      <c r="Y107" s="111">
        <f>(C107-(N107*(1-'Future Type Share'!V46)))/'Future Type Share'!$V46</f>
        <v>0.10564388795366744</v>
      </c>
      <c r="Z107" s="111">
        <f>(D107-(O107*(1-'Future Type Share'!$V46)))/'Future Type Share'!$V46</f>
        <v>0.32408082951973266</v>
      </c>
      <c r="AA107" s="111">
        <f>(E107-(P107*(1-'Future Type Share'!$V46)))/'Future Type Share'!$V46</f>
        <v>4.4738356751097073E-2</v>
      </c>
      <c r="AB107" s="111">
        <f>(F107-(Q107*(1-'Future Type Share'!$V46)))/'Future Type Share'!$V46</f>
        <v>8.6649645145094809E-2</v>
      </c>
      <c r="AC107" s="111">
        <f>(G107-(R107*(1-'Future Type Share'!$V46)))/'Future Type Share'!$V46</f>
        <v>8.7003028689732212E-2</v>
      </c>
      <c r="AD107" s="111">
        <f>(H107-(S107*(1-'Future Type Share'!$V46)))/'Future Type Share'!$V46</f>
        <v>0.25138764167202493</v>
      </c>
      <c r="AE107" s="111">
        <f>(I107-(T107*(1-'Future Type Share'!$V46)))/'Future Type Share'!$V46</f>
        <v>0.10049661026865082</v>
      </c>
      <c r="AF107" s="25">
        <f t="shared" si="21"/>
        <v>1</v>
      </c>
    </row>
    <row r="108" spans="2:32">
      <c r="B108" s="23">
        <v>2046</v>
      </c>
      <c r="C108" s="111">
        <f t="shared" si="22"/>
        <v>8.2555523004527953E-2</v>
      </c>
      <c r="D108" s="111">
        <f t="shared" si="23"/>
        <v>0.36694637582464829</v>
      </c>
      <c r="E108" s="17">
        <f t="shared" si="24"/>
        <v>3.6823734729493893E-2</v>
      </c>
      <c r="F108" s="111">
        <f t="shared" si="24"/>
        <v>7.1320535194880741E-2</v>
      </c>
      <c r="G108" s="111">
        <f t="shared" si="24"/>
        <v>7.1611401977894118E-2</v>
      </c>
      <c r="H108" s="111">
        <f t="shared" si="25"/>
        <v>0.28667197859492716</v>
      </c>
      <c r="I108" s="111">
        <f t="shared" si="26"/>
        <v>8.4070450673627728E-2</v>
      </c>
      <c r="J108" s="25">
        <f t="shared" si="27"/>
        <v>0.99999999999999989</v>
      </c>
      <c r="M108" s="23">
        <v>2046</v>
      </c>
      <c r="N108" s="48">
        <f t="shared" si="32"/>
        <v>0</v>
      </c>
      <c r="O108" s="48">
        <f t="shared" si="29"/>
        <v>0.54267462709770831</v>
      </c>
      <c r="P108" s="48">
        <f t="shared" si="32"/>
        <v>0</v>
      </c>
      <c r="Q108" s="48">
        <f t="shared" si="32"/>
        <v>0</v>
      </c>
      <c r="R108" s="48">
        <f t="shared" si="32"/>
        <v>0</v>
      </c>
      <c r="S108" s="48">
        <f t="shared" si="30"/>
        <v>0.45017850894340883</v>
      </c>
      <c r="T108" s="48">
        <f t="shared" si="32"/>
        <v>7.1468639588828375E-3</v>
      </c>
      <c r="U108" s="25">
        <f t="shared" si="31"/>
        <v>1</v>
      </c>
      <c r="V108" s="17"/>
      <c r="X108" s="23">
        <v>2046</v>
      </c>
      <c r="Y108" s="111">
        <f>(C108-(N108*(1-'Future Type Share'!V47)))/'Future Type Share'!$V47</f>
        <v>9.9792390445033796E-2</v>
      </c>
      <c r="Z108" s="111">
        <f>(D108-(O108*(1-'Future Type Share'!$V47)))/'Future Type Share'!$V47</f>
        <v>0.33025586182258077</v>
      </c>
      <c r="AA108" s="111">
        <f>(E108-(P108*(1-'Future Type Share'!$V47)))/'Future Type Share'!$V47</f>
        <v>4.4512206815871744E-2</v>
      </c>
      <c r="AB108" s="111">
        <f>(F108-(Q108*(1-'Future Type Share'!$V47)))/'Future Type Share'!$V47</f>
        <v>8.6211635949855855E-2</v>
      </c>
      <c r="AC108" s="111">
        <f>(G108-(R108*(1-'Future Type Share'!$V47)))/'Future Type Share'!$V47</f>
        <v>8.6563233160091804E-2</v>
      </c>
      <c r="AD108" s="111">
        <f>(H108-(S108*(1-'Future Type Share'!$V47)))/'Future Type Share'!$V47</f>
        <v>0.25253325247821118</v>
      </c>
      <c r="AE108" s="111">
        <f>(I108-(T108*(1-'Future Type Share'!$V47)))/'Future Type Share'!$V47</f>
        <v>0.10013141932835469</v>
      </c>
      <c r="AF108" s="25">
        <f t="shared" si="21"/>
        <v>0.99999999999999978</v>
      </c>
    </row>
    <row r="109" spans="2:32">
      <c r="B109" s="23">
        <v>2047</v>
      </c>
      <c r="C109" s="111">
        <f t="shared" si="22"/>
        <v>7.8156522233373882E-2</v>
      </c>
      <c r="D109" s="111">
        <f t="shared" si="23"/>
        <v>0.37138771403855486</v>
      </c>
      <c r="E109" s="17">
        <f t="shared" si="24"/>
        <v>3.6823734729493893E-2</v>
      </c>
      <c r="F109" s="111">
        <f t="shared" si="24"/>
        <v>7.1320535194880741E-2</v>
      </c>
      <c r="G109" s="111">
        <f t="shared" si="24"/>
        <v>7.1611401977894118E-2</v>
      </c>
      <c r="H109" s="111">
        <f t="shared" si="25"/>
        <v>0.28652225382058166</v>
      </c>
      <c r="I109" s="111">
        <f t="shared" si="26"/>
        <v>8.4177838005220801E-2</v>
      </c>
      <c r="J109" s="25">
        <f t="shared" si="27"/>
        <v>0.99999999999999989</v>
      </c>
      <c r="M109" s="23">
        <v>2047</v>
      </c>
      <c r="N109" s="48">
        <f t="shared" si="32"/>
        <v>0</v>
      </c>
      <c r="O109" s="48">
        <f t="shared" si="29"/>
        <v>0.5440709483133519</v>
      </c>
      <c r="P109" s="48">
        <f t="shared" si="32"/>
        <v>0</v>
      </c>
      <c r="Q109" s="48">
        <f t="shared" si="32"/>
        <v>0</v>
      </c>
      <c r="R109" s="48">
        <f t="shared" si="32"/>
        <v>0</v>
      </c>
      <c r="S109" s="48">
        <f t="shared" si="30"/>
        <v>0.44867406343487259</v>
      </c>
      <c r="T109" s="48">
        <f t="shared" si="32"/>
        <v>7.2549882517755071E-3</v>
      </c>
      <c r="U109" s="25">
        <f t="shared" si="31"/>
        <v>1</v>
      </c>
      <c r="V109" s="17"/>
      <c r="X109" s="23">
        <v>2047</v>
      </c>
      <c r="Y109" s="111">
        <f>(C109-(N109*(1-'Future Type Share'!V48)))/'Future Type Share'!$V48</f>
        <v>9.3999753396797808E-2</v>
      </c>
      <c r="Z109" s="111">
        <f>(D109-(O109*(1-'Future Type Share'!$V48)))/'Future Type Share'!$V48</f>
        <v>0.33638282486892068</v>
      </c>
      <c r="AA109" s="111">
        <f>(E109-(P109*(1-'Future Type Share'!$V48)))/'Future Type Share'!$V48</f>
        <v>4.428833173238933E-2</v>
      </c>
      <c r="AB109" s="111">
        <f>(F109-(Q109*(1-'Future Type Share'!$V48)))/'Future Type Share'!$V48</f>
        <v>8.5778032707597651E-2</v>
      </c>
      <c r="AC109" s="111">
        <f>(G109-(R109*(1-'Future Type Share'!$V48)))/'Future Type Share'!$V48</f>
        <v>8.6127861552245277E-2</v>
      </c>
      <c r="AD109" s="111">
        <f>(H109-(S109*(1-'Future Type Share'!$V48)))/'Future Type Share'!$V48</f>
        <v>0.25365220625608403</v>
      </c>
      <c r="AE109" s="111">
        <f>(I109-(T109*(1-'Future Type Share'!$V48)))/'Future Type Share'!$V48</f>
        <v>9.9770989485965134E-2</v>
      </c>
      <c r="AF109" s="25">
        <f t="shared" si="21"/>
        <v>0.99999999999999978</v>
      </c>
    </row>
    <row r="110" spans="2:32">
      <c r="B110" s="23">
        <v>2048</v>
      </c>
      <c r="C110" s="111">
        <f t="shared" si="22"/>
        <v>7.37575214622197E-2</v>
      </c>
      <c r="D110" s="111">
        <f t="shared" si="23"/>
        <v>0.37582905225246144</v>
      </c>
      <c r="E110" s="17">
        <f t="shared" si="24"/>
        <v>3.6823734729493893E-2</v>
      </c>
      <c r="F110" s="111">
        <f t="shared" si="24"/>
        <v>7.1320535194880741E-2</v>
      </c>
      <c r="G110" s="111">
        <f t="shared" si="24"/>
        <v>7.1611401977894118E-2</v>
      </c>
      <c r="H110" s="111">
        <f t="shared" si="25"/>
        <v>0.28637252904623622</v>
      </c>
      <c r="I110" s="111">
        <f t="shared" si="26"/>
        <v>8.4285225336813874E-2</v>
      </c>
      <c r="J110" s="25">
        <f t="shared" si="27"/>
        <v>1</v>
      </c>
      <c r="M110" s="23">
        <v>2048</v>
      </c>
      <c r="N110" s="48">
        <f t="shared" si="32"/>
        <v>0</v>
      </c>
      <c r="O110" s="48">
        <f t="shared" si="29"/>
        <v>0.54546726952899505</v>
      </c>
      <c r="P110" s="48">
        <f t="shared" si="32"/>
        <v>0</v>
      </c>
      <c r="Q110" s="48">
        <f t="shared" si="32"/>
        <v>0</v>
      </c>
      <c r="R110" s="48">
        <f t="shared" si="32"/>
        <v>0</v>
      </c>
      <c r="S110" s="48">
        <f t="shared" si="30"/>
        <v>0.44716961792633675</v>
      </c>
      <c r="T110" s="48">
        <f t="shared" si="32"/>
        <v>7.3631125446682044E-3</v>
      </c>
      <c r="U110" s="25">
        <f t="shared" si="31"/>
        <v>1</v>
      </c>
      <c r="V110" s="17"/>
      <c r="X110" s="23">
        <v>2048</v>
      </c>
      <c r="Y110" s="111">
        <f>(C110-(N110*(1-'Future Type Share'!V49)))/'Future Type Share'!$V49</f>
        <v>8.8265093133639755E-2</v>
      </c>
      <c r="Z110" s="111">
        <f>(D110-(O110*(1-'Future Type Share'!$V49)))/'Future Type Share'!$V49</f>
        <v>0.34246244032513629</v>
      </c>
      <c r="AA110" s="111">
        <f>(E110-(P110*(1-'Future Type Share'!$V49)))/'Future Type Share'!$V49</f>
        <v>4.4066697348175886E-2</v>
      </c>
      <c r="AB110" s="111">
        <f>(F110-(Q110*(1-'Future Type Share'!$V49)))/'Future Type Share'!$V49</f>
        <v>8.534876927150653E-2</v>
      </c>
      <c r="AC110" s="111">
        <f>(G110-(R110*(1-'Future Type Share'!$V49)))/'Future Type Share'!$V49</f>
        <v>8.5696847449612187E-2</v>
      </c>
      <c r="AD110" s="111">
        <f>(H110-(S110*(1-'Future Type Share'!$V49)))/'Future Type Share'!$V49</f>
        <v>0.25474490320907112</v>
      </c>
      <c r="AE110" s="111">
        <f>(I110-(T110*(1-'Future Type Share'!$V49)))/'Future Type Share'!$V49</f>
        <v>9.9415249262858177E-2</v>
      </c>
      <c r="AF110" s="25">
        <f t="shared" si="21"/>
        <v>0.99999999999999978</v>
      </c>
    </row>
    <row r="111" spans="2:32">
      <c r="B111" s="23">
        <v>2049</v>
      </c>
      <c r="C111" s="111">
        <f t="shared" si="22"/>
        <v>6.9358520691065406E-2</v>
      </c>
      <c r="D111" s="111">
        <f t="shared" si="23"/>
        <v>0.38027039046636801</v>
      </c>
      <c r="E111" s="17">
        <f t="shared" si="24"/>
        <v>3.6823734729493893E-2</v>
      </c>
      <c r="F111" s="111">
        <f t="shared" si="24"/>
        <v>7.1320535194880741E-2</v>
      </c>
      <c r="G111" s="111">
        <f t="shared" si="24"/>
        <v>7.1611401977894118E-2</v>
      </c>
      <c r="H111" s="111">
        <f t="shared" si="25"/>
        <v>0.28622280427189078</v>
      </c>
      <c r="I111" s="111">
        <f t="shared" si="26"/>
        <v>8.4392612668406947E-2</v>
      </c>
      <c r="J111" s="25">
        <f t="shared" si="27"/>
        <v>1</v>
      </c>
      <c r="M111" s="23">
        <v>2049</v>
      </c>
      <c r="N111" s="48">
        <f t="shared" si="32"/>
        <v>0</v>
      </c>
      <c r="O111" s="48">
        <f t="shared" si="29"/>
        <v>0.54686359074463819</v>
      </c>
      <c r="P111" s="48">
        <f t="shared" si="32"/>
        <v>0</v>
      </c>
      <c r="Q111" s="48">
        <f t="shared" si="32"/>
        <v>0</v>
      </c>
      <c r="R111" s="48">
        <f t="shared" si="32"/>
        <v>0</v>
      </c>
      <c r="S111" s="48">
        <f t="shared" si="30"/>
        <v>0.4456651724178009</v>
      </c>
      <c r="T111" s="48">
        <f t="shared" si="32"/>
        <v>7.4712368375609017E-3</v>
      </c>
      <c r="U111" s="25">
        <f t="shared" si="31"/>
        <v>1</v>
      </c>
      <c r="V111" s="17"/>
      <c r="X111" s="23">
        <v>2049</v>
      </c>
      <c r="Y111" s="111">
        <f>(C111-(N111*(1-'Future Type Share'!V50)))/'Future Type Share'!$V50</f>
        <v>8.2587543581047765E-2</v>
      </c>
      <c r="Z111" s="111">
        <f>(D111-(O111*(1-'Future Type Share'!$V50)))/'Future Type Share'!$V50</f>
        <v>0.34849541548365404</v>
      </c>
      <c r="AA111" s="111">
        <f>(E111-(P111*(1-'Future Type Share'!$V50)))/'Future Type Share'!$V50</f>
        <v>4.384727019099726E-2</v>
      </c>
      <c r="AB111" s="111">
        <f>(F111-(Q111*(1-'Future Type Share'!$V50)))/'Future Type Share'!$V50</f>
        <v>8.4923780812263261E-2</v>
      </c>
      <c r="AC111" s="111">
        <f>(G111-(R111*(1-'Future Type Share'!$V50)))/'Future Type Share'!$V50</f>
        <v>8.5270125758479656E-2</v>
      </c>
      <c r="AD111" s="111">
        <f>(H111-(S111*(1-'Future Type Share'!$V50)))/'Future Type Share'!$V50</f>
        <v>0.25581173556945591</v>
      </c>
      <c r="AE111" s="111">
        <f>(I111-(T111*(1-'Future Type Share'!$V50)))/'Future Type Share'!$V50</f>
        <v>9.9064128604101964E-2</v>
      </c>
      <c r="AF111" s="25">
        <f t="shared" si="21"/>
        <v>0.99999999999999989</v>
      </c>
    </row>
    <row r="112" spans="2:32">
      <c r="B112" s="26">
        <v>2050</v>
      </c>
      <c r="C112" s="112">
        <f t="shared" si="22"/>
        <v>6.4959519919911335E-2</v>
      </c>
      <c r="D112" s="112">
        <f t="shared" si="23"/>
        <v>0.38471172868027459</v>
      </c>
      <c r="E112" s="28">
        <f t="shared" si="24"/>
        <v>3.6823734729493893E-2</v>
      </c>
      <c r="F112" s="112">
        <f t="shared" si="24"/>
        <v>7.1320535194880741E-2</v>
      </c>
      <c r="G112" s="112">
        <f t="shared" si="24"/>
        <v>7.1611401977894118E-2</v>
      </c>
      <c r="H112" s="112">
        <f t="shared" si="25"/>
        <v>0.28607307949754529</v>
      </c>
      <c r="I112" s="112">
        <f t="shared" si="26"/>
        <v>8.450000000000002E-2</v>
      </c>
      <c r="J112" s="29">
        <f t="shared" si="27"/>
        <v>1</v>
      </c>
      <c r="M112" s="26">
        <v>2050</v>
      </c>
      <c r="N112" s="49">
        <f t="shared" si="32"/>
        <v>0</v>
      </c>
      <c r="O112" s="49">
        <f t="shared" si="29"/>
        <v>0.54825991196028179</v>
      </c>
      <c r="P112" s="49">
        <f t="shared" si="32"/>
        <v>0</v>
      </c>
      <c r="Q112" s="49">
        <f t="shared" si="32"/>
        <v>0</v>
      </c>
      <c r="R112" s="49">
        <f t="shared" si="32"/>
        <v>0</v>
      </c>
      <c r="S112" s="49">
        <f t="shared" si="30"/>
        <v>0.44416072690926467</v>
      </c>
      <c r="T112" s="49">
        <f t="shared" si="32"/>
        <v>7.5793611304535713E-3</v>
      </c>
      <c r="U112" s="29">
        <f t="shared" si="31"/>
        <v>1</v>
      </c>
      <c r="V112" s="17"/>
      <c r="X112" s="26">
        <v>2050</v>
      </c>
      <c r="Y112" s="112">
        <f>(C112-(N112*(1-'Future Type Share'!V51)))/'Future Type Share'!$V51</f>
        <v>7.696625582927881E-2</v>
      </c>
      <c r="Z112" s="112">
        <f>(D112-(O112*(1-'Future Type Share'!$V51)))/'Future Type Share'!$V51</f>
        <v>0.35448244361904108</v>
      </c>
      <c r="AA112" s="112">
        <f>(E112-(P112*(1-'Future Type Share'!$V51)))/'Future Type Share'!$V51</f>
        <v>4.3630017452006967E-2</v>
      </c>
      <c r="AB112" s="112">
        <f>(F112-(Q112*(1-'Future Type Share'!$V51)))/'Future Type Share'!$V51</f>
        <v>8.4503003785403694E-2</v>
      </c>
      <c r="AC112" s="112">
        <f>(G112-(R112*(1-'Future Type Share'!$V51)))/'Future Type Share'!$V51</f>
        <v>8.4847632675229961E-2</v>
      </c>
      <c r="AD112" s="112">
        <f>(H112-(S112*(1-'Future Type Share'!$V51)))/'Future Type Share'!$V51</f>
        <v>0.25685308779585314</v>
      </c>
      <c r="AE112" s="112">
        <f>(I112-(T112*(1-'Future Type Share'!$V51)))/'Future Type Share'!$V51</f>
        <v>9.8717558843186309E-2</v>
      </c>
      <c r="AF112" s="29">
        <f t="shared" si="21"/>
        <v>1</v>
      </c>
    </row>
    <row r="113" spans="1:43">
      <c r="C113" s="1"/>
      <c r="D113" s="1"/>
      <c r="E113" s="17"/>
      <c r="F113" s="1"/>
      <c r="H113" s="1"/>
      <c r="I113" s="1"/>
      <c r="J113" s="17"/>
      <c r="Y113" s="1"/>
      <c r="Z113" s="1"/>
      <c r="AA113" s="17"/>
      <c r="AB113" s="1"/>
      <c r="AC113" s="1"/>
      <c r="AD113" s="1"/>
      <c r="AE113" s="17"/>
      <c r="AF113" s="17"/>
      <c r="AG113" s="17"/>
      <c r="AJ113" s="1"/>
      <c r="AK113" s="1"/>
      <c r="AL113" s="1"/>
      <c r="AM113" s="1"/>
      <c r="AO113" s="1"/>
      <c r="AP113" s="17"/>
      <c r="AQ113" s="17"/>
    </row>
    <row r="114" spans="1:43">
      <c r="B114">
        <v>2016</v>
      </c>
      <c r="C114" s="1"/>
      <c r="D114" s="1"/>
      <c r="E114" s="17"/>
      <c r="F114" s="1"/>
      <c r="G114" s="1"/>
      <c r="H114" s="1"/>
      <c r="I114" s="1">
        <f>I78</f>
        <v>7.6788830715532289E-2</v>
      </c>
      <c r="J114" s="17"/>
      <c r="Y114" s="1"/>
      <c r="Z114" s="1"/>
      <c r="AA114" s="17"/>
      <c r="AB114" s="1"/>
      <c r="AC114" s="1"/>
      <c r="AD114" s="1"/>
      <c r="AE114" s="17"/>
      <c r="AF114" s="17"/>
      <c r="AG114" s="17"/>
      <c r="AH114" s="17"/>
      <c r="AJ114" s="1"/>
      <c r="AK114" s="17"/>
      <c r="AL114" s="17"/>
      <c r="AM114" s="17"/>
      <c r="AO114" s="1"/>
      <c r="AP114" s="17"/>
      <c r="AQ114" s="17"/>
    </row>
    <row r="115" spans="1:43">
      <c r="B115">
        <v>2050</v>
      </c>
      <c r="D115" s="17"/>
      <c r="E115" s="17"/>
      <c r="F115" s="17"/>
      <c r="G115" s="17"/>
      <c r="H115" s="1"/>
      <c r="I115" s="17">
        <v>8.4500000000000006E-2</v>
      </c>
      <c r="AK115" s="17"/>
      <c r="AL115" s="17"/>
      <c r="AM115" s="1"/>
    </row>
    <row r="116" spans="1:43">
      <c r="D116" s="17"/>
      <c r="E116" s="17"/>
      <c r="F116" s="17"/>
      <c r="G116" s="17"/>
      <c r="H116" s="1"/>
      <c r="I116" s="17"/>
      <c r="AK116" s="17"/>
      <c r="AL116" s="17"/>
      <c r="AM116" s="1"/>
    </row>
    <row r="117" spans="1:43" s="62" customFormat="1">
      <c r="A117" s="169" t="s">
        <v>92</v>
      </c>
    </row>
    <row r="118" spans="1:43">
      <c r="B118" s="146" t="s">
        <v>509</v>
      </c>
      <c r="C118" s="21"/>
      <c r="D118" s="21"/>
      <c r="E118" s="21"/>
      <c r="F118" s="21"/>
      <c r="G118" s="21"/>
      <c r="H118" s="21"/>
      <c r="I118" s="22"/>
      <c r="L118" s="146" t="s">
        <v>527</v>
      </c>
      <c r="M118" s="21"/>
      <c r="N118" s="21"/>
      <c r="O118" s="21"/>
      <c r="P118" s="21"/>
      <c r="Q118" s="21"/>
      <c r="R118" s="21"/>
      <c r="S118" s="22"/>
      <c r="X118" s="497" t="s">
        <v>921</v>
      </c>
      <c r="Y118" s="21"/>
      <c r="Z118" s="21"/>
      <c r="AA118" s="21"/>
      <c r="AB118" s="21"/>
      <c r="AC118" s="21"/>
      <c r="AD118" s="21"/>
      <c r="AE118" s="22"/>
      <c r="AJ118" s="148" t="s">
        <v>922</v>
      </c>
      <c r="AK118" s="149"/>
      <c r="AL118" s="149"/>
      <c r="AM118" s="149"/>
      <c r="AN118" s="149"/>
      <c r="AO118" s="149"/>
      <c r="AP118" s="149"/>
      <c r="AQ118" s="150"/>
    </row>
    <row r="119" spans="1:43">
      <c r="B119" s="23"/>
      <c r="C119" t="s">
        <v>510</v>
      </c>
      <c r="D119" t="s">
        <v>594</v>
      </c>
      <c r="E119" t="s">
        <v>512</v>
      </c>
      <c r="F119" t="s">
        <v>514</v>
      </c>
      <c r="G119" t="s">
        <v>515</v>
      </c>
      <c r="H119" t="s">
        <v>516</v>
      </c>
      <c r="I119" s="24" t="s">
        <v>517</v>
      </c>
      <c r="L119" s="23"/>
      <c r="M119" t="s">
        <v>510</v>
      </c>
      <c r="N119" t="s">
        <v>594</v>
      </c>
      <c r="O119" t="s">
        <v>512</v>
      </c>
      <c r="P119" t="s">
        <v>514</v>
      </c>
      <c r="Q119" t="s">
        <v>515</v>
      </c>
      <c r="R119" t="s">
        <v>516</v>
      </c>
      <c r="S119" s="24" t="s">
        <v>517</v>
      </c>
      <c r="X119" s="23"/>
      <c r="Y119" t="s">
        <v>510</v>
      </c>
      <c r="Z119" t="s">
        <v>594</v>
      </c>
      <c r="AA119" t="s">
        <v>512</v>
      </c>
      <c r="AB119" t="s">
        <v>514</v>
      </c>
      <c r="AC119" t="s">
        <v>515</v>
      </c>
      <c r="AD119" t="s">
        <v>516</v>
      </c>
      <c r="AE119" s="24" t="s">
        <v>517</v>
      </c>
      <c r="AJ119" s="151"/>
      <c r="AK119" s="111" t="s">
        <v>540</v>
      </c>
      <c r="AL119" s="111" t="s">
        <v>601</v>
      </c>
      <c r="AM119" s="111" t="s">
        <v>542</v>
      </c>
      <c r="AN119" s="111" t="s">
        <v>544</v>
      </c>
      <c r="AO119" s="111" t="s">
        <v>545</v>
      </c>
      <c r="AP119" s="111" t="s">
        <v>546</v>
      </c>
      <c r="AQ119" s="147" t="s">
        <v>547</v>
      </c>
    </row>
    <row r="120" spans="1:43">
      <c r="B120" s="23">
        <v>2006</v>
      </c>
      <c r="C120" s="549">
        <f>Commercial8EndUse!H7</f>
        <v>0.27</v>
      </c>
      <c r="D120" s="549">
        <f>Commercial8EndUse!I7</f>
        <v>0.08</v>
      </c>
      <c r="E120" s="549">
        <f>Commercial8EndUse!J7</f>
        <v>0.15</v>
      </c>
      <c r="F120" s="549">
        <f>Commercial8EndUse!K7</f>
        <v>0.05</v>
      </c>
      <c r="G120" s="549">
        <f>Commercial8EndUse!L7</f>
        <v>0.15</v>
      </c>
      <c r="H120" s="549">
        <f>Commercial8EndUse!M7</f>
        <v>0.3</v>
      </c>
      <c r="I120" s="550">
        <f>SUM(C120:H120)</f>
        <v>1</v>
      </c>
      <c r="L120" s="23">
        <v>2006</v>
      </c>
      <c r="M120" s="17">
        <f>Commercial8EndUse!H28</f>
        <v>0.33</v>
      </c>
      <c r="N120" s="17">
        <f>Commercial8EndUse!I28</f>
        <v>0.05</v>
      </c>
      <c r="O120" s="17">
        <f>Commercial8EndUse!J28</f>
        <v>0.17</v>
      </c>
      <c r="P120" s="17">
        <f>Commercial8EndUse!K28</f>
        <v>0.06</v>
      </c>
      <c r="Q120" s="17">
        <f>Commercial8EndUse!L28</f>
        <v>0.06</v>
      </c>
      <c r="R120" s="17">
        <f>Commercial8EndUse!M28</f>
        <v>0.33</v>
      </c>
      <c r="S120" s="25">
        <f t="shared" ref="S120:S129" si="33">SUM(M120:R120)</f>
        <v>1.0000000000000002</v>
      </c>
      <c r="X120" s="23">
        <v>2006</v>
      </c>
      <c r="Y120" s="48">
        <f>Commercial8EndUse!S54</f>
        <v>0</v>
      </c>
      <c r="Z120" s="48">
        <f>Commercial8EndUse!T54</f>
        <v>0.23077880109872348</v>
      </c>
      <c r="AA120" s="48">
        <f>Commercial8EndUse!U54</f>
        <v>4.9480799267517493E-2</v>
      </c>
      <c r="AB120" s="48">
        <f>Commercial8EndUse!V54</f>
        <v>-2.5960036624111591E-4</v>
      </c>
      <c r="AC120" s="48">
        <f>Commercial8EndUse!W54</f>
        <v>0.60233640329617055</v>
      </c>
      <c r="AD120" s="48">
        <f>Commercial8EndUse!X54</f>
        <v>0.11766359670382953</v>
      </c>
      <c r="AE120" s="498">
        <f>Commercial8EndUse!Y54</f>
        <v>1</v>
      </c>
      <c r="AJ120" s="152">
        <v>2006</v>
      </c>
      <c r="AK120" s="111">
        <v>0</v>
      </c>
      <c r="AL120" s="111">
        <v>0.23077880109872348</v>
      </c>
      <c r="AM120" s="111">
        <v>0</v>
      </c>
      <c r="AN120" s="111">
        <v>-2.5960036624111591E-4</v>
      </c>
      <c r="AO120" s="111">
        <f>1-AL120</f>
        <v>0.76922119890127649</v>
      </c>
      <c r="AP120" s="111">
        <v>0</v>
      </c>
      <c r="AQ120" s="147">
        <v>1</v>
      </c>
    </row>
    <row r="121" spans="1:43">
      <c r="B121" s="23">
        <v>2007</v>
      </c>
      <c r="C121" s="549">
        <f>Commercial8EndUse!H8</f>
        <v>0.27</v>
      </c>
      <c r="D121" s="549">
        <f>Commercial8EndUse!I8</f>
        <v>0.06</v>
      </c>
      <c r="E121" s="549">
        <f>Commercial8EndUse!J8</f>
        <v>0.15</v>
      </c>
      <c r="F121" s="549">
        <f>Commercial8EndUse!K8</f>
        <v>0.04</v>
      </c>
      <c r="G121" s="549">
        <f>Commercial8EndUse!L8</f>
        <v>0.11</v>
      </c>
      <c r="H121" s="549">
        <f>Commercial8EndUse!M8</f>
        <v>0.37</v>
      </c>
      <c r="I121" s="550">
        <f t="shared" ref="I121:I135" si="34">SUM(C121:H121)</f>
        <v>1</v>
      </c>
      <c r="L121" s="23">
        <v>2007</v>
      </c>
      <c r="M121" s="19" t="s">
        <v>528</v>
      </c>
      <c r="N121" s="19"/>
      <c r="O121" s="19"/>
      <c r="P121" s="19"/>
      <c r="Q121" s="19"/>
      <c r="R121" s="19"/>
      <c r="S121" s="50"/>
      <c r="X121" s="23">
        <v>2007</v>
      </c>
      <c r="Y121" s="665" t="str">
        <f>Commercial8EndUse!S55</f>
        <v>No data</v>
      </c>
      <c r="Z121" s="665"/>
      <c r="AA121" s="665"/>
      <c r="AB121" s="665"/>
      <c r="AC121" s="665"/>
      <c r="AD121" s="665"/>
      <c r="AE121" s="666"/>
      <c r="AJ121" s="152">
        <v>2007</v>
      </c>
      <c r="AK121" s="665" t="s">
        <v>602</v>
      </c>
      <c r="AL121" s="665"/>
      <c r="AM121" s="665"/>
      <c r="AN121" s="665"/>
      <c r="AO121" s="665"/>
      <c r="AP121" s="665"/>
      <c r="AQ121" s="666"/>
    </row>
    <row r="122" spans="1:43">
      <c r="B122" s="23">
        <v>2008</v>
      </c>
      <c r="C122" s="549">
        <f>Commercial8EndUse!H9</f>
        <v>0.24</v>
      </c>
      <c r="D122" s="549">
        <f>Commercial8EndUse!I9</f>
        <v>0.1</v>
      </c>
      <c r="E122" s="549">
        <f>Commercial8EndUse!J9</f>
        <v>0.1</v>
      </c>
      <c r="F122" s="549">
        <f>Commercial8EndUse!K9</f>
        <v>0.05</v>
      </c>
      <c r="G122" s="549">
        <f>Commercial8EndUse!L9</f>
        <v>0.13</v>
      </c>
      <c r="H122" s="549">
        <f>Commercial8EndUse!M9</f>
        <v>0.38</v>
      </c>
      <c r="I122" s="550">
        <f t="shared" si="34"/>
        <v>0.99999999999999989</v>
      </c>
      <c r="L122" s="23">
        <v>2008</v>
      </c>
      <c r="M122" s="19"/>
      <c r="N122" s="19"/>
      <c r="O122" s="19"/>
      <c r="P122" s="19"/>
      <c r="Q122" s="19"/>
      <c r="R122" s="19"/>
      <c r="S122" s="50"/>
      <c r="X122" s="23">
        <v>2008</v>
      </c>
      <c r="Y122" s="665"/>
      <c r="Z122" s="665"/>
      <c r="AA122" s="665"/>
      <c r="AB122" s="665"/>
      <c r="AC122" s="665"/>
      <c r="AD122" s="665"/>
      <c r="AE122" s="666"/>
      <c r="AG122" t="s">
        <v>539</v>
      </c>
      <c r="AJ122" s="152">
        <v>2008</v>
      </c>
      <c r="AK122" s="665"/>
      <c r="AL122" s="665"/>
      <c r="AM122" s="665"/>
      <c r="AN122" s="665"/>
      <c r="AO122" s="665"/>
      <c r="AP122" s="665"/>
      <c r="AQ122" s="666"/>
    </row>
    <row r="123" spans="1:43">
      <c r="B123" s="23">
        <v>2009</v>
      </c>
      <c r="C123" s="549">
        <f>Commercial8EndUse!H10</f>
        <v>0.24</v>
      </c>
      <c r="D123" s="549">
        <f>Commercial8EndUse!I10</f>
        <v>0.1</v>
      </c>
      <c r="E123" s="549">
        <f>Commercial8EndUse!J10</f>
        <v>0.1</v>
      </c>
      <c r="F123" s="549">
        <f>Commercial8EndUse!K10</f>
        <v>0.05</v>
      </c>
      <c r="G123" s="549">
        <f>Commercial8EndUse!L10</f>
        <v>0.13</v>
      </c>
      <c r="H123" s="549">
        <f>Commercial8EndUse!M10</f>
        <v>0.38</v>
      </c>
      <c r="I123" s="550">
        <f t="shared" si="34"/>
        <v>0.99999999999999989</v>
      </c>
      <c r="L123" s="23">
        <v>2009</v>
      </c>
      <c r="M123" s="19"/>
      <c r="N123" s="19"/>
      <c r="O123" s="19"/>
      <c r="P123" s="19"/>
      <c r="Q123" s="19"/>
      <c r="R123" s="19"/>
      <c r="S123" s="50"/>
      <c r="X123" s="23">
        <v>2009</v>
      </c>
      <c r="Y123" s="665"/>
      <c r="Z123" s="665"/>
      <c r="AA123" s="665"/>
      <c r="AB123" s="665"/>
      <c r="AC123" s="665"/>
      <c r="AD123" s="665"/>
      <c r="AE123" s="666"/>
      <c r="AG123" t="s">
        <v>548</v>
      </c>
      <c r="AJ123" s="152">
        <v>2009</v>
      </c>
      <c r="AK123" s="665"/>
      <c r="AL123" s="665"/>
      <c r="AM123" s="665"/>
      <c r="AN123" s="665"/>
      <c r="AO123" s="665"/>
      <c r="AP123" s="665"/>
      <c r="AQ123" s="666"/>
    </row>
    <row r="124" spans="1:43">
      <c r="B124" s="23">
        <v>2010</v>
      </c>
      <c r="C124" s="549">
        <f>Commercial8EndUse!H11</f>
        <v>0.25</v>
      </c>
      <c r="D124" s="549">
        <f>Commercial8EndUse!I11</f>
        <v>0.1</v>
      </c>
      <c r="E124" s="549">
        <f>Commercial8EndUse!J11</f>
        <v>0.12</v>
      </c>
      <c r="F124" s="549">
        <f>Commercial8EndUse!K11</f>
        <v>0.05</v>
      </c>
      <c r="G124" s="549">
        <f>Commercial8EndUse!L11</f>
        <v>0.13</v>
      </c>
      <c r="H124" s="549">
        <f>Commercial8EndUse!M11</f>
        <v>0.35</v>
      </c>
      <c r="I124" s="550">
        <f t="shared" si="34"/>
        <v>1</v>
      </c>
      <c r="L124" s="23">
        <v>2010</v>
      </c>
      <c r="M124" s="19"/>
      <c r="N124" s="19"/>
      <c r="O124" s="19"/>
      <c r="P124" s="19"/>
      <c r="Q124" s="19"/>
      <c r="R124" s="19"/>
      <c r="S124" s="50"/>
      <c r="X124" s="23">
        <v>2010</v>
      </c>
      <c r="Y124" s="665"/>
      <c r="Z124" s="665"/>
      <c r="AA124" s="665"/>
      <c r="AB124" s="665"/>
      <c r="AC124" s="665"/>
      <c r="AD124" s="665"/>
      <c r="AE124" s="666"/>
      <c r="AG124" t="s">
        <v>923</v>
      </c>
      <c r="AJ124" s="152">
        <v>2010</v>
      </c>
      <c r="AK124" s="665"/>
      <c r="AL124" s="665"/>
      <c r="AM124" s="665"/>
      <c r="AN124" s="665"/>
      <c r="AO124" s="665"/>
      <c r="AP124" s="665"/>
      <c r="AQ124" s="666"/>
    </row>
    <row r="125" spans="1:43">
      <c r="B125" s="23">
        <v>2011</v>
      </c>
      <c r="C125" s="549">
        <f>Commercial8EndUse!H12</f>
        <v>0.26</v>
      </c>
      <c r="D125" s="549">
        <f>Commercial8EndUse!I12</f>
        <v>0.12</v>
      </c>
      <c r="E125" s="549">
        <f>Commercial8EndUse!J12</f>
        <v>0.13</v>
      </c>
      <c r="F125" s="549">
        <f>Commercial8EndUse!K12</f>
        <v>0.05</v>
      </c>
      <c r="G125" s="549">
        <f>Commercial8EndUse!L12</f>
        <v>0.13</v>
      </c>
      <c r="H125" s="549">
        <f>Commercial8EndUse!M12</f>
        <v>0.31</v>
      </c>
      <c r="I125" s="550">
        <f t="shared" si="34"/>
        <v>1</v>
      </c>
      <c r="L125" s="23">
        <v>2011</v>
      </c>
      <c r="M125" s="19"/>
      <c r="N125" s="19"/>
      <c r="O125" s="19"/>
      <c r="P125" s="19"/>
      <c r="Q125" s="19"/>
      <c r="R125" s="19"/>
      <c r="S125" s="50"/>
      <c r="X125" s="23">
        <v>2011</v>
      </c>
      <c r="Y125" s="665"/>
      <c r="Z125" s="665"/>
      <c r="AA125" s="665"/>
      <c r="AB125" s="665"/>
      <c r="AC125" s="665"/>
      <c r="AD125" s="665"/>
      <c r="AE125" s="666"/>
      <c r="AG125" t="s">
        <v>924</v>
      </c>
      <c r="AJ125" s="152">
        <v>2011</v>
      </c>
      <c r="AK125" s="665"/>
      <c r="AL125" s="665"/>
      <c r="AM125" s="665"/>
      <c r="AN125" s="665"/>
      <c r="AO125" s="665"/>
      <c r="AP125" s="665"/>
      <c r="AQ125" s="666"/>
    </row>
    <row r="126" spans="1:43">
      <c r="B126" s="23">
        <v>2012</v>
      </c>
      <c r="C126" s="549">
        <f>Commercial8EndUse!H13</f>
        <v>0.25</v>
      </c>
      <c r="D126" s="549">
        <f>Commercial8EndUse!I13</f>
        <v>0.12</v>
      </c>
      <c r="E126" s="549">
        <f>Commercial8EndUse!J13</f>
        <v>0.13</v>
      </c>
      <c r="F126" s="549">
        <f>Commercial8EndUse!K13</f>
        <v>0.05</v>
      </c>
      <c r="G126" s="549">
        <f>Commercial8EndUse!L13</f>
        <v>0.14000000000000001</v>
      </c>
      <c r="H126" s="549">
        <f>Commercial8EndUse!M13</f>
        <v>0.31</v>
      </c>
      <c r="I126" s="550">
        <f t="shared" si="34"/>
        <v>1</v>
      </c>
      <c r="L126" s="23">
        <v>2012</v>
      </c>
      <c r="M126" s="549">
        <f>Commercial8EndUse!H34</f>
        <v>0.3</v>
      </c>
      <c r="N126" s="549">
        <f>Commercial8EndUse!I34</f>
        <v>0.08</v>
      </c>
      <c r="O126" s="549">
        <f>Commercial8EndUse!J34</f>
        <v>0.15</v>
      </c>
      <c r="P126" s="549">
        <f>Commercial8EndUse!K34</f>
        <v>0.06</v>
      </c>
      <c r="Q126" s="549">
        <f>Commercial8EndUse!L34</f>
        <v>0.08</v>
      </c>
      <c r="R126" s="549">
        <f>Commercial8EndUse!M34</f>
        <v>0.33</v>
      </c>
      <c r="S126" s="550">
        <f t="shared" si="33"/>
        <v>1</v>
      </c>
      <c r="T126" s="17"/>
      <c r="X126" s="23">
        <v>2012</v>
      </c>
      <c r="Y126" s="111">
        <f>Commercial8EndUse!S60</f>
        <v>0</v>
      </c>
      <c r="Z126" s="111">
        <f>Commercial8EndUse!T60</f>
        <v>0.3325865218980007</v>
      </c>
      <c r="AA126" s="111">
        <f>Commercial8EndUse!U60</f>
        <v>2.3706739050999709E-2</v>
      </c>
      <c r="AB126" s="111">
        <f>Commercial8EndUse!V60</f>
        <v>0</v>
      </c>
      <c r="AC126" s="111">
        <f>Commercial8EndUse!W60</f>
        <v>0.45887978284700121</v>
      </c>
      <c r="AD126" s="111">
        <f>Commercial8EndUse!X60</f>
        <v>0.18482695620399836</v>
      </c>
      <c r="AE126" s="147">
        <f>Commercial8EndUse!Y60</f>
        <v>1</v>
      </c>
      <c r="AG126" t="s">
        <v>925</v>
      </c>
      <c r="AJ126" s="152">
        <v>2012</v>
      </c>
      <c r="AK126" s="111">
        <v>0</v>
      </c>
      <c r="AL126" s="111">
        <v>0.3325865218980007</v>
      </c>
      <c r="AM126" s="111">
        <v>0</v>
      </c>
      <c r="AN126" s="111">
        <v>0</v>
      </c>
      <c r="AO126" s="111">
        <f>1-AL126</f>
        <v>0.66741347810199936</v>
      </c>
      <c r="AP126" s="111">
        <v>0</v>
      </c>
      <c r="AQ126" s="25">
        <f>SUM(AK126:AP126)</f>
        <v>1</v>
      </c>
    </row>
    <row r="127" spans="1:43">
      <c r="B127" s="23">
        <v>2013</v>
      </c>
      <c r="C127" s="549">
        <f>Commercial8EndUse!H14</f>
        <v>0.26</v>
      </c>
      <c r="D127" s="549">
        <f>Commercial8EndUse!I14</f>
        <v>0.12</v>
      </c>
      <c r="E127" s="549">
        <f>Commercial8EndUse!J14</f>
        <v>0.13</v>
      </c>
      <c r="F127" s="549">
        <f>Commercial8EndUse!K14</f>
        <v>0.05</v>
      </c>
      <c r="G127" s="549">
        <f>Commercial8EndUse!L14</f>
        <v>0.14000000000000001</v>
      </c>
      <c r="H127" s="549">
        <f>Commercial8EndUse!M14</f>
        <v>0.3</v>
      </c>
      <c r="I127" s="550">
        <f t="shared" si="34"/>
        <v>1</v>
      </c>
      <c r="L127" s="23">
        <v>2013</v>
      </c>
      <c r="M127" s="549">
        <f>Commercial8EndUse!H35</f>
        <v>0.3</v>
      </c>
      <c r="N127" s="549">
        <f>Commercial8EndUse!I35</f>
        <v>0.08</v>
      </c>
      <c r="O127" s="549">
        <f>Commercial8EndUse!J35</f>
        <v>0.16</v>
      </c>
      <c r="P127" s="549">
        <f>Commercial8EndUse!K35</f>
        <v>0.06</v>
      </c>
      <c r="Q127" s="549">
        <f>Commercial8EndUse!L35</f>
        <v>0.08</v>
      </c>
      <c r="R127" s="549">
        <f>Commercial8EndUse!M35</f>
        <v>0.32</v>
      </c>
      <c r="S127" s="550">
        <f t="shared" si="33"/>
        <v>1</v>
      </c>
      <c r="T127" s="17"/>
      <c r="X127" s="23">
        <v>2013</v>
      </c>
      <c r="Y127" s="111">
        <f>Commercial8EndUse!S61</f>
        <v>0</v>
      </c>
      <c r="Z127" s="111">
        <f>Commercial8EndUse!T61</f>
        <v>0.3256853306308588</v>
      </c>
      <c r="AA127" s="111">
        <f>Commercial8EndUse!U61</f>
        <v>0</v>
      </c>
      <c r="AB127" s="111">
        <f>Commercial8EndUse!V61</f>
        <v>0</v>
      </c>
      <c r="AC127" s="111">
        <f>Commercial8EndUse!W61</f>
        <v>0.44852799594628834</v>
      </c>
      <c r="AD127" s="111">
        <f>Commercial8EndUse!X61</f>
        <v>0.22578667342285286</v>
      </c>
      <c r="AE127" s="147">
        <f>Commercial8EndUse!Y61</f>
        <v>1</v>
      </c>
      <c r="AG127" t="s">
        <v>926</v>
      </c>
      <c r="AJ127" s="152">
        <v>2013</v>
      </c>
      <c r="AK127" s="111">
        <v>0</v>
      </c>
      <c r="AL127" s="111">
        <v>0.3256853306308588</v>
      </c>
      <c r="AM127" s="111">
        <v>0</v>
      </c>
      <c r="AN127" s="111">
        <v>0</v>
      </c>
      <c r="AO127" s="111">
        <f t="shared" ref="AO127:AO164" si="35">1-AL127</f>
        <v>0.6743146693691412</v>
      </c>
      <c r="AP127" s="111">
        <v>0</v>
      </c>
      <c r="AQ127" s="25">
        <f t="shared" ref="AQ127:AQ164" si="36">SUM(AK127:AP127)</f>
        <v>1</v>
      </c>
    </row>
    <row r="128" spans="1:43">
      <c r="B128" s="23">
        <v>2014</v>
      </c>
      <c r="C128" s="549">
        <f>Commercial8EndUse!H15</f>
        <v>0.26</v>
      </c>
      <c r="D128" s="549">
        <f>Commercial8EndUse!I15</f>
        <v>0.12</v>
      </c>
      <c r="E128" s="549">
        <f>Commercial8EndUse!J15</f>
        <v>0.13</v>
      </c>
      <c r="F128" s="549">
        <f>Commercial8EndUse!K15</f>
        <v>0.05</v>
      </c>
      <c r="G128" s="549">
        <f>Commercial8EndUse!L15</f>
        <v>0.14000000000000001</v>
      </c>
      <c r="H128" s="549">
        <f>Commercial8EndUse!M15</f>
        <v>0.3</v>
      </c>
      <c r="I128" s="550">
        <f t="shared" si="34"/>
        <v>1</v>
      </c>
      <c r="L128" s="23">
        <v>2014</v>
      </c>
      <c r="M128" s="549">
        <f>Commercial8EndUse!H36</f>
        <v>0.31</v>
      </c>
      <c r="N128" s="549">
        <f>Commercial8EndUse!I36</f>
        <v>0.08</v>
      </c>
      <c r="O128" s="549">
        <f>Commercial8EndUse!J36</f>
        <v>0.15</v>
      </c>
      <c r="P128" s="549">
        <f>Commercial8EndUse!K36</f>
        <v>0.06</v>
      </c>
      <c r="Q128" s="549">
        <f>Commercial8EndUse!L36</f>
        <v>0.08</v>
      </c>
      <c r="R128" s="549">
        <f>Commercial8EndUse!M36</f>
        <v>0.32</v>
      </c>
      <c r="S128" s="550">
        <f t="shared" si="33"/>
        <v>1</v>
      </c>
      <c r="T128" s="17"/>
      <c r="X128" s="23">
        <v>2014</v>
      </c>
      <c r="Y128" s="111">
        <f>Commercial8EndUse!S62</f>
        <v>0</v>
      </c>
      <c r="Z128" s="111">
        <f>Commercial8EndUse!T62</f>
        <v>0.32439553873730331</v>
      </c>
      <c r="AA128" s="111">
        <f>Commercial8EndUse!U62</f>
        <v>2.7802230631348387E-2</v>
      </c>
      <c r="AB128" s="111">
        <f>Commercial8EndUse!V62</f>
        <v>0</v>
      </c>
      <c r="AC128" s="111">
        <f>Commercial8EndUse!W62</f>
        <v>0.44659330810595504</v>
      </c>
      <c r="AD128" s="111">
        <f>Commercial8EndUse!X62</f>
        <v>0.20120892252539324</v>
      </c>
      <c r="AE128" s="147">
        <f>Commercial8EndUse!Y62</f>
        <v>1</v>
      </c>
      <c r="AG128" s="17" t="s">
        <v>927</v>
      </c>
      <c r="AJ128" s="152">
        <v>2014</v>
      </c>
      <c r="AK128" s="111">
        <v>0</v>
      </c>
      <c r="AL128" s="111">
        <v>0.32439553873730331</v>
      </c>
      <c r="AM128" s="111">
        <v>0</v>
      </c>
      <c r="AN128" s="111">
        <v>0</v>
      </c>
      <c r="AO128" s="111">
        <f t="shared" si="35"/>
        <v>0.67560446126269669</v>
      </c>
      <c r="AP128" s="111">
        <v>0</v>
      </c>
      <c r="AQ128" s="25">
        <f t="shared" si="36"/>
        <v>1</v>
      </c>
    </row>
    <row r="129" spans="1:43">
      <c r="B129" s="23">
        <v>2015</v>
      </c>
      <c r="C129" s="549">
        <f>Commercial8EndUse!H16</f>
        <v>0.25</v>
      </c>
      <c r="D129" s="549">
        <f>Commercial8EndUse!I16</f>
        <v>0.12</v>
      </c>
      <c r="E129" s="549">
        <f>Commercial8EndUse!J16</f>
        <v>0.12</v>
      </c>
      <c r="F129" s="549">
        <f>Commercial8EndUse!K16</f>
        <v>0.05</v>
      </c>
      <c r="G129" s="549">
        <f>Commercial8EndUse!L16</f>
        <v>0.14000000000000001</v>
      </c>
      <c r="H129" s="549">
        <f>Commercial8EndUse!M16</f>
        <v>0.32</v>
      </c>
      <c r="I129" s="550">
        <f t="shared" si="34"/>
        <v>1</v>
      </c>
      <c r="L129" s="23">
        <v>2015</v>
      </c>
      <c r="M129" s="549">
        <f>Commercial8EndUse!H37</f>
        <v>0.28999999999999998</v>
      </c>
      <c r="N129" s="549">
        <f>Commercial8EndUse!I37</f>
        <v>0.08</v>
      </c>
      <c r="O129" s="549">
        <f>Commercial8EndUse!J37</f>
        <v>0.15</v>
      </c>
      <c r="P129" s="549">
        <f>Commercial8EndUse!K37</f>
        <v>0.06</v>
      </c>
      <c r="Q129" s="549">
        <f>Commercial8EndUse!L37</f>
        <v>7.0000000000000007E-2</v>
      </c>
      <c r="R129" s="549">
        <f>Commercial8EndUse!M37</f>
        <v>0.35</v>
      </c>
      <c r="S129" s="550">
        <f t="shared" si="33"/>
        <v>1</v>
      </c>
      <c r="T129" s="17"/>
      <c r="X129" s="23">
        <v>2015</v>
      </c>
      <c r="Y129" s="111">
        <f>Commercial8EndUse!S63</f>
        <v>0</v>
      </c>
      <c r="Z129" s="111">
        <f>Commercial8EndUse!T63</f>
        <v>0.32758320404384156</v>
      </c>
      <c r="AA129" s="111">
        <f>Commercial8EndUse!U63</f>
        <v>0</v>
      </c>
      <c r="AB129" s="111">
        <f>Commercial8EndUse!V63</f>
        <v>0</v>
      </c>
      <c r="AC129" s="111">
        <f>Commercial8EndUse!W63</f>
        <v>0.50327060707672278</v>
      </c>
      <c r="AD129" s="111">
        <f>Commercial8EndUse!X63</f>
        <v>0.16914618887943567</v>
      </c>
      <c r="AE129" s="147">
        <f>Commercial8EndUse!Y63</f>
        <v>1</v>
      </c>
      <c r="AG129" s="17" t="s">
        <v>928</v>
      </c>
      <c r="AJ129" s="152">
        <v>2015</v>
      </c>
      <c r="AK129" s="111">
        <v>0</v>
      </c>
      <c r="AL129" s="111">
        <v>0.32758320404384156</v>
      </c>
      <c r="AM129" s="111">
        <v>0</v>
      </c>
      <c r="AN129" s="111">
        <v>0</v>
      </c>
      <c r="AO129" s="111">
        <f t="shared" si="35"/>
        <v>0.67241679595615844</v>
      </c>
      <c r="AP129" s="111">
        <v>0</v>
      </c>
      <c r="AQ129" s="25">
        <f t="shared" si="36"/>
        <v>1</v>
      </c>
    </row>
    <row r="130" spans="1:43">
      <c r="A130" s="145" t="s">
        <v>929</v>
      </c>
      <c r="B130" s="23">
        <v>2016</v>
      </c>
      <c r="C130" s="549">
        <f>Commercial8EndUse!H17</f>
        <v>0.24</v>
      </c>
      <c r="D130" s="549">
        <f>Commercial8EndUse!I17</f>
        <v>0.12</v>
      </c>
      <c r="E130" s="549">
        <f>Commercial8EndUse!J17</f>
        <v>0.12</v>
      </c>
      <c r="F130" s="549">
        <f>Commercial8EndUse!K17</f>
        <v>0.05</v>
      </c>
      <c r="G130" s="549">
        <f>Commercial8EndUse!L17</f>
        <v>0.14000000000000001</v>
      </c>
      <c r="H130" s="549">
        <f>Commercial8EndUse!M17</f>
        <v>0.33</v>
      </c>
      <c r="I130" s="550">
        <f t="shared" si="34"/>
        <v>1</v>
      </c>
      <c r="L130" s="23">
        <v>2016</v>
      </c>
      <c r="M130" s="549">
        <f>Commercial8EndUse!H38</f>
        <v>0.28999999999999998</v>
      </c>
      <c r="N130" s="549">
        <f>Commercial8EndUse!I38</f>
        <v>0.08</v>
      </c>
      <c r="O130" s="549">
        <f>Commercial8EndUse!J38</f>
        <v>0.15</v>
      </c>
      <c r="P130" s="549">
        <f>Commercial8EndUse!K38</f>
        <v>0.06</v>
      </c>
      <c r="Q130" s="549">
        <f>Commercial8EndUse!L38</f>
        <v>7.0000000000000007E-2</v>
      </c>
      <c r="R130" s="549">
        <f>Commercial8EndUse!M38</f>
        <v>0.35</v>
      </c>
      <c r="S130" s="550">
        <f>SUM(M130:R130)</f>
        <v>1</v>
      </c>
      <c r="T130" s="17"/>
      <c r="X130" s="23">
        <v>2016</v>
      </c>
      <c r="Y130" s="111">
        <f>Commercial8EndUse!S64</f>
        <v>0</v>
      </c>
      <c r="Z130" s="111">
        <f>Commercial8EndUse!T64</f>
        <v>0.32685185185185184</v>
      </c>
      <c r="AA130" s="111">
        <f>Commercial8EndUse!U64</f>
        <v>0</v>
      </c>
      <c r="AB130" s="111">
        <f>Commercial8EndUse!V64</f>
        <v>0</v>
      </c>
      <c r="AC130" s="111">
        <f>Commercial8EndUse!W64</f>
        <v>0.50199074074074068</v>
      </c>
      <c r="AD130" s="111">
        <f>Commercial8EndUse!X64</f>
        <v>0.17115740740740748</v>
      </c>
      <c r="AE130" s="147">
        <f>Commercial8EndUse!Y64</f>
        <v>1</v>
      </c>
      <c r="AF130" s="17"/>
      <c r="AG130" s="17" t="s">
        <v>930</v>
      </c>
      <c r="AH130" s="17"/>
      <c r="AJ130" s="152">
        <v>2016</v>
      </c>
      <c r="AK130" s="111">
        <v>0</v>
      </c>
      <c r="AL130" s="111">
        <v>0.32685185185185184</v>
      </c>
      <c r="AM130" s="111">
        <v>0</v>
      </c>
      <c r="AN130" s="111">
        <v>0</v>
      </c>
      <c r="AO130" s="111">
        <f t="shared" si="35"/>
        <v>0.67314814814814816</v>
      </c>
      <c r="AP130" s="111">
        <v>0</v>
      </c>
      <c r="AQ130" s="25">
        <f t="shared" si="36"/>
        <v>1</v>
      </c>
    </row>
    <row r="131" spans="1:43">
      <c r="A131" s="144" t="s">
        <v>931</v>
      </c>
      <c r="B131" s="23">
        <v>2017</v>
      </c>
      <c r="C131" s="549">
        <f>Commercial8EndUse!H18</f>
        <v>0.25</v>
      </c>
      <c r="D131" s="549">
        <f>Commercial8EndUse!I18</f>
        <v>0.12</v>
      </c>
      <c r="E131" s="549">
        <f>Commercial8EndUse!J18</f>
        <v>0.12</v>
      </c>
      <c r="F131" s="549">
        <f>Commercial8EndUse!K18</f>
        <v>0.05</v>
      </c>
      <c r="G131" s="549">
        <f>Commercial8EndUse!L18</f>
        <v>0.13</v>
      </c>
      <c r="H131" s="549">
        <f>Commercial8EndUse!M18</f>
        <v>0.33</v>
      </c>
      <c r="I131" s="550">
        <f t="shared" si="34"/>
        <v>1</v>
      </c>
      <c r="L131" s="23">
        <v>2017</v>
      </c>
      <c r="M131" s="549">
        <f>Commercial8EndUse!H39</f>
        <v>0.3</v>
      </c>
      <c r="N131" s="549">
        <f>Commercial8EndUse!I39</f>
        <v>0.09</v>
      </c>
      <c r="O131" s="549">
        <f>Commercial8EndUse!J39</f>
        <v>0.14000000000000001</v>
      </c>
      <c r="P131" s="549">
        <f>Commercial8EndUse!K39</f>
        <v>0.06</v>
      </c>
      <c r="Q131" s="549">
        <f>Commercial8EndUse!L39</f>
        <v>7.0000000000000007E-2</v>
      </c>
      <c r="R131" s="549">
        <f>Commercial8EndUse!M39</f>
        <v>0.34</v>
      </c>
      <c r="S131" s="550">
        <f t="shared" ref="S131:S135" si="37">SUM(M131:R131)</f>
        <v>1.0000000000000002</v>
      </c>
      <c r="T131" s="17"/>
      <c r="X131" s="23">
        <v>2017</v>
      </c>
      <c r="Y131" s="111">
        <f>Commercial8EndUse!S65</f>
        <v>0</v>
      </c>
      <c r="Z131" s="111">
        <f>Commercial8EndUse!T65</f>
        <v>0.32</v>
      </c>
      <c r="AA131" s="111">
        <f>Commercial8EndUse!U65</f>
        <v>0</v>
      </c>
      <c r="AB131" s="111">
        <f>Commercial8EndUse!V65</f>
        <v>0</v>
      </c>
      <c r="AC131" s="111">
        <f>Commercial8EndUse!W65</f>
        <v>0.52900000000000003</v>
      </c>
      <c r="AD131" s="111">
        <f>Commercial8EndUse!X65</f>
        <v>0.15100000000000002</v>
      </c>
      <c r="AE131" s="147">
        <f>Commercial8EndUse!Y65</f>
        <v>1</v>
      </c>
      <c r="AF131" s="17"/>
      <c r="AG131" s="17"/>
      <c r="AH131" s="17"/>
      <c r="AJ131" s="152">
        <v>2017</v>
      </c>
      <c r="AK131" s="111">
        <v>0</v>
      </c>
      <c r="AL131" s="111">
        <v>0.33462962962962944</v>
      </c>
      <c r="AM131" s="111">
        <v>0</v>
      </c>
      <c r="AN131" s="111">
        <v>0</v>
      </c>
      <c r="AO131" s="111">
        <f t="shared" si="35"/>
        <v>0.66537037037037061</v>
      </c>
      <c r="AP131" s="111">
        <v>0</v>
      </c>
      <c r="AQ131" s="25">
        <f t="shared" si="36"/>
        <v>1</v>
      </c>
    </row>
    <row r="132" spans="1:43">
      <c r="A132" t="s">
        <v>932</v>
      </c>
      <c r="B132" s="23">
        <v>2018</v>
      </c>
      <c r="C132" s="549">
        <f>Commercial8EndUse!H19</f>
        <v>0.26</v>
      </c>
      <c r="D132" s="549">
        <f>Commercial8EndUse!I19</f>
        <v>0.12</v>
      </c>
      <c r="E132" s="549">
        <f>Commercial8EndUse!J19</f>
        <v>0.12</v>
      </c>
      <c r="F132" s="549">
        <f>Commercial8EndUse!K19</f>
        <v>0.05</v>
      </c>
      <c r="G132" s="549">
        <f>Commercial8EndUse!L19</f>
        <v>0.14000000000000001</v>
      </c>
      <c r="H132" s="549">
        <f>Commercial8EndUse!M19</f>
        <v>0.32</v>
      </c>
      <c r="I132" s="550">
        <f t="shared" si="34"/>
        <v>1.01</v>
      </c>
      <c r="L132" s="23">
        <v>2018</v>
      </c>
      <c r="M132" s="549">
        <f>Commercial8EndUse!H40</f>
        <v>0.31</v>
      </c>
      <c r="N132" s="549">
        <f>Commercial8EndUse!I40</f>
        <v>0.09</v>
      </c>
      <c r="O132" s="549">
        <f>Commercial8EndUse!J40</f>
        <v>0.14000000000000001</v>
      </c>
      <c r="P132" s="549">
        <f>Commercial8EndUse!K40</f>
        <v>0.06</v>
      </c>
      <c r="Q132" s="549">
        <f>Commercial8EndUse!L40</f>
        <v>7.0000000000000007E-2</v>
      </c>
      <c r="R132" s="549">
        <f>Commercial8EndUse!M40</f>
        <v>0.34</v>
      </c>
      <c r="S132" s="550">
        <f t="shared" si="37"/>
        <v>1.0100000000000002</v>
      </c>
      <c r="T132" s="17"/>
      <c r="X132" s="23">
        <v>2018</v>
      </c>
      <c r="Y132" s="111">
        <f>Commercial8EndUse!S66</f>
        <v>0</v>
      </c>
      <c r="Z132" s="111">
        <f>Commercial8EndUse!T66</f>
        <v>0.32</v>
      </c>
      <c r="AA132" s="111">
        <f>Commercial8EndUse!U66</f>
        <v>0</v>
      </c>
      <c r="AB132" s="111">
        <f>Commercial8EndUse!V66</f>
        <v>0</v>
      </c>
      <c r="AC132" s="111">
        <f>Commercial8EndUse!W66</f>
        <v>0.60699999999999998</v>
      </c>
      <c r="AD132" s="111">
        <f>Commercial8EndUse!X66</f>
        <v>7.2999999999999954E-2</v>
      </c>
      <c r="AE132" s="147">
        <f>Commercial8EndUse!Y66</f>
        <v>1</v>
      </c>
      <c r="AF132" s="17"/>
      <c r="AG132" s="17"/>
      <c r="AH132" s="17"/>
      <c r="AJ132" s="152">
        <v>2018</v>
      </c>
      <c r="AK132" s="111">
        <v>0</v>
      </c>
      <c r="AL132" s="111">
        <v>0.33566531086577578</v>
      </c>
      <c r="AM132" s="111">
        <v>0</v>
      </c>
      <c r="AN132" s="111">
        <v>0</v>
      </c>
      <c r="AO132" s="111">
        <f t="shared" si="35"/>
        <v>0.66433468913422422</v>
      </c>
      <c r="AP132" s="111">
        <v>0</v>
      </c>
      <c r="AQ132" s="25">
        <f t="shared" si="36"/>
        <v>1</v>
      </c>
    </row>
    <row r="133" spans="1:43">
      <c r="B133" s="23">
        <v>2019</v>
      </c>
      <c r="C133" s="549">
        <f>Commercial8EndUse!H20</f>
        <v>0.22</v>
      </c>
      <c r="D133" s="549">
        <f>Commercial8EndUse!I20</f>
        <v>0.1</v>
      </c>
      <c r="E133" s="549">
        <f>Commercial8EndUse!J20</f>
        <v>0.1</v>
      </c>
      <c r="F133" s="549">
        <f>Commercial8EndUse!K20</f>
        <v>0.05</v>
      </c>
      <c r="G133" s="549">
        <f>Commercial8EndUse!L20</f>
        <v>0.13</v>
      </c>
      <c r="H133" s="549">
        <f>Commercial8EndUse!M20</f>
        <v>0.39</v>
      </c>
      <c r="I133" s="550">
        <f t="shared" si="34"/>
        <v>0.9900000000000001</v>
      </c>
      <c r="L133" s="23">
        <v>2019</v>
      </c>
      <c r="M133" s="549">
        <f>Commercial8EndUse!H41</f>
        <v>0.25</v>
      </c>
      <c r="N133" s="549">
        <f>Commercial8EndUse!I41</f>
        <v>7.0000000000000007E-2</v>
      </c>
      <c r="O133" s="549">
        <f>Commercial8EndUse!J41</f>
        <v>0.12</v>
      </c>
      <c r="P133" s="549">
        <f>Commercial8EndUse!K41</f>
        <v>0.06</v>
      </c>
      <c r="Q133" s="549">
        <f>Commercial8EndUse!L41</f>
        <v>7.0000000000000007E-2</v>
      </c>
      <c r="R133" s="549">
        <f>Commercial8EndUse!M41</f>
        <v>0.43</v>
      </c>
      <c r="S133" s="550">
        <f t="shared" si="37"/>
        <v>1</v>
      </c>
      <c r="T133" s="17"/>
      <c r="X133" s="23">
        <v>2019</v>
      </c>
      <c r="Y133" s="111">
        <f>Commercial8EndUse!S67</f>
        <v>4.0000000000000001E-3</v>
      </c>
      <c r="Z133" s="111">
        <f>Commercial8EndUse!T67</f>
        <v>0.316</v>
      </c>
      <c r="AA133" s="111">
        <f>Commercial8EndUse!U67</f>
        <v>0</v>
      </c>
      <c r="AB133" s="111">
        <f>Commercial8EndUse!V67</f>
        <v>0</v>
      </c>
      <c r="AC133" s="111">
        <f>Commercial8EndUse!W67</f>
        <v>0.56200000000000006</v>
      </c>
      <c r="AD133" s="111">
        <f>Commercial8EndUse!X67</f>
        <v>0.11799999999999988</v>
      </c>
      <c r="AE133" s="147">
        <f>Commercial8EndUse!Y67</f>
        <v>1</v>
      </c>
      <c r="AF133" s="17"/>
      <c r="AG133" s="17"/>
      <c r="AH133" s="17"/>
      <c r="AJ133" s="152">
        <v>2019</v>
      </c>
      <c r="AK133" s="111">
        <v>0</v>
      </c>
      <c r="AL133" s="111">
        <v>0.33670945157526239</v>
      </c>
      <c r="AM133" s="111">
        <v>0</v>
      </c>
      <c r="AN133" s="111">
        <v>0</v>
      </c>
      <c r="AO133" s="111">
        <f t="shared" si="35"/>
        <v>0.66329054842473756</v>
      </c>
      <c r="AP133" s="111">
        <v>0</v>
      </c>
      <c r="AQ133" s="25">
        <f t="shared" si="36"/>
        <v>1</v>
      </c>
    </row>
    <row r="134" spans="1:43">
      <c r="B134" s="23">
        <v>2020</v>
      </c>
      <c r="C134" s="549">
        <f>Commercial8EndUse!H21</f>
        <v>0.25</v>
      </c>
      <c r="D134" s="549">
        <f>Commercial8EndUse!I21</f>
        <v>0.09</v>
      </c>
      <c r="E134" s="549">
        <f>Commercial8EndUse!J21</f>
        <v>0.11</v>
      </c>
      <c r="F134" s="549">
        <f>Commercial8EndUse!K21</f>
        <v>0.06</v>
      </c>
      <c r="G134" s="549">
        <f>Commercial8EndUse!L21</f>
        <v>0.1</v>
      </c>
      <c r="H134" s="549">
        <f>Commercial8EndUse!M21</f>
        <v>0.39</v>
      </c>
      <c r="I134" s="550">
        <f t="shared" si="34"/>
        <v>1</v>
      </c>
      <c r="L134" s="23">
        <v>2020</v>
      </c>
      <c r="M134" s="549">
        <f>Commercial8EndUse!H42</f>
        <v>0.28000000000000003</v>
      </c>
      <c r="N134" s="549">
        <f>Commercial8EndUse!I42</f>
        <v>0.06</v>
      </c>
      <c r="O134" s="549">
        <f>Commercial8EndUse!J42</f>
        <v>0.12</v>
      </c>
      <c r="P134" s="549">
        <f>Commercial8EndUse!K42</f>
        <v>0.06</v>
      </c>
      <c r="Q134" s="549">
        <f>Commercial8EndUse!L42</f>
        <v>0.05</v>
      </c>
      <c r="R134" s="549">
        <f>Commercial8EndUse!M42</f>
        <v>0.42</v>
      </c>
      <c r="S134" s="550">
        <f t="shared" si="37"/>
        <v>0.99</v>
      </c>
      <c r="T134" s="17"/>
      <c r="X134" s="23">
        <v>2020</v>
      </c>
      <c r="Y134" s="111">
        <f>Commercial8EndUse!S68</f>
        <v>2E-3</v>
      </c>
      <c r="Z134" s="111">
        <f>Commercial8EndUse!T68</f>
        <v>0.33850000000000002</v>
      </c>
      <c r="AA134" s="111">
        <v>0</v>
      </c>
      <c r="AB134" s="111">
        <f>Commercial8EndUse!V68</f>
        <v>0.06</v>
      </c>
      <c r="AC134" s="111">
        <f>Commercial8EndUse!W68</f>
        <v>0.51400000000000001</v>
      </c>
      <c r="AD134" s="111">
        <f>Commercial8EndUse!X68</f>
        <v>5.8499999999999996E-2</v>
      </c>
      <c r="AE134" s="147">
        <f>Commercial8EndUse!Y68</f>
        <v>1</v>
      </c>
      <c r="AF134" s="17"/>
      <c r="AH134" s="17"/>
      <c r="AJ134" s="152">
        <v>2020</v>
      </c>
      <c r="AK134" s="111">
        <v>0</v>
      </c>
      <c r="AL134" s="111">
        <v>0.33776215582893976</v>
      </c>
      <c r="AM134" s="111">
        <v>0</v>
      </c>
      <c r="AN134" s="111">
        <v>0</v>
      </c>
      <c r="AO134" s="111">
        <f t="shared" si="35"/>
        <v>0.66223784417106024</v>
      </c>
      <c r="AP134" s="111">
        <v>0</v>
      </c>
      <c r="AQ134" s="25">
        <f t="shared" si="36"/>
        <v>1</v>
      </c>
    </row>
    <row r="135" spans="1:43">
      <c r="B135" s="23">
        <v>2021</v>
      </c>
      <c r="C135" s="549">
        <f>Commercial8EndUse!H22</f>
        <v>0.25</v>
      </c>
      <c r="D135" s="549">
        <f>Commercial8EndUse!I22</f>
        <v>0.09</v>
      </c>
      <c r="E135" s="549">
        <f>Commercial8EndUse!J22</f>
        <v>0.11</v>
      </c>
      <c r="F135" s="549">
        <f>Commercial8EndUse!K22</f>
        <v>0.05</v>
      </c>
      <c r="G135" s="549">
        <f>Commercial8EndUse!L22</f>
        <v>0.11</v>
      </c>
      <c r="H135" s="549">
        <f>Commercial8EndUse!M22</f>
        <v>0.39</v>
      </c>
      <c r="I135" s="550">
        <f t="shared" si="34"/>
        <v>1</v>
      </c>
      <c r="L135" s="23">
        <v>2021</v>
      </c>
      <c r="M135" s="549">
        <f>Commercial8EndUse!H43</f>
        <v>0.28000000000000003</v>
      </c>
      <c r="N135" s="549">
        <f>Commercial8EndUse!I43</f>
        <v>0.06</v>
      </c>
      <c r="O135" s="549">
        <f>Commercial8EndUse!J43</f>
        <v>0.12</v>
      </c>
      <c r="P135" s="549">
        <f>Commercial8EndUse!K43</f>
        <v>0.06</v>
      </c>
      <c r="Q135" s="549">
        <f>Commercial8EndUse!L43</f>
        <v>0.06</v>
      </c>
      <c r="R135" s="549">
        <f>Commercial8EndUse!M43</f>
        <v>0.42</v>
      </c>
      <c r="S135" s="550">
        <f t="shared" si="37"/>
        <v>1</v>
      </c>
      <c r="T135" s="17"/>
      <c r="X135" s="23">
        <v>2021</v>
      </c>
      <c r="Y135" s="111">
        <f>Commercial8EndUse!S69</f>
        <v>0</v>
      </c>
      <c r="Z135" s="111">
        <f>Commercial8EndUse!T69</f>
        <v>0.34100000000000003</v>
      </c>
      <c r="AA135" s="111">
        <v>0</v>
      </c>
      <c r="AB135" s="111">
        <f>Commercial8EndUse!V69</f>
        <v>0</v>
      </c>
      <c r="AC135" s="111">
        <f>Commercial8EndUse!W69</f>
        <v>0.52800000000000002</v>
      </c>
      <c r="AD135" s="111">
        <f>Commercial8EndUse!X69</f>
        <v>0.10499999999999998</v>
      </c>
      <c r="AE135" s="147">
        <f>Commercial8EndUse!Y69</f>
        <v>1</v>
      </c>
      <c r="AF135" s="17"/>
      <c r="AG135" s="17"/>
      <c r="AH135" s="17"/>
      <c r="AJ135" s="152">
        <v>2021</v>
      </c>
      <c r="AK135" s="111">
        <v>0</v>
      </c>
      <c r="AL135" s="111">
        <v>0.33882352941176469</v>
      </c>
      <c r="AM135" s="111">
        <v>0</v>
      </c>
      <c r="AN135" s="111">
        <v>0</v>
      </c>
      <c r="AO135" s="111">
        <f t="shared" si="35"/>
        <v>0.66117647058823525</v>
      </c>
      <c r="AP135" s="111">
        <v>0</v>
      </c>
      <c r="AQ135" s="25">
        <f t="shared" si="36"/>
        <v>1</v>
      </c>
    </row>
    <row r="136" spans="1:43">
      <c r="B136" s="23">
        <v>2022</v>
      </c>
      <c r="C136" s="111">
        <v>0.25</v>
      </c>
      <c r="D136" s="17">
        <v>0.09</v>
      </c>
      <c r="E136" s="17">
        <v>0.11</v>
      </c>
      <c r="F136" s="17">
        <v>0.05</v>
      </c>
      <c r="G136" s="17">
        <v>0.11</v>
      </c>
      <c r="H136" s="17">
        <v>0.39</v>
      </c>
      <c r="I136" s="25">
        <v>1</v>
      </c>
      <c r="L136" s="23">
        <v>2022</v>
      </c>
      <c r="M136" s="111">
        <v>0.28000000000000003</v>
      </c>
      <c r="N136" s="111">
        <v>0.06</v>
      </c>
      <c r="O136" s="111">
        <v>0.12</v>
      </c>
      <c r="P136" s="111">
        <v>0.06</v>
      </c>
      <c r="Q136" s="17">
        <v>0.06</v>
      </c>
      <c r="R136" s="17">
        <v>0.42</v>
      </c>
      <c r="S136" s="25">
        <v>1</v>
      </c>
      <c r="T136" s="17"/>
      <c r="V136">
        <f>(('Future Type Share'!AF22*'Future EndUse Share'!C135)-(M135*'Future Type Share'!AD22))</f>
        <v>-6.4500000000043656</v>
      </c>
      <c r="X136" s="23">
        <v>2022</v>
      </c>
      <c r="Y136" s="111">
        <f>(('Future Type Share'!AF22*'Future EndUse Share'!C136)-(M136*'Future Type Share'!AD22))/('Future Type Share'!AB22+'Future Type Share'!Z22)</f>
        <v>-5.022191076854602E-4</v>
      </c>
      <c r="Z136" s="111">
        <f>((D136*'Future Type Share'!AF23)-('Future Type Share'!AD23*'Future EndUse Share'!N136))/('Future Type Share'!AF23-'Future Type Share'!AD23)</f>
        <v>0.32627218934911234</v>
      </c>
      <c r="AA136" s="111">
        <f>IF((((E135*'Future Type Share'!AF23)-('Future Type Share'!AD23*'Future EndUse Share'!O135))/('Future Type Share'!AF23-'Future Type Share'!AD23))&lt;10%,0,(((E135*'Future Type Share'!AF23)-('Future Type Share'!AD23*'Future EndUse Share'!O135))/('Future Type Share'!AF23-'Future Type Share'!AD23)))</f>
        <v>0</v>
      </c>
      <c r="AB136" s="111">
        <f>(('Future Type Share'!AI22*'Future EndUse Share'!F136)-(P136*'Future Type Share'!AG22))/('Future Type Share'!AE22+'Future Type Share'!AC22)</f>
        <v>0</v>
      </c>
      <c r="AC136" s="111">
        <f>(G136-Q136*'Future Type Share'!$AE23)/(1-'Future Type Share'!$AE23)</f>
        <v>0.50378698224852059</v>
      </c>
      <c r="AD136" s="111">
        <f>(('Future Type Share'!AK22*'Future EndUse Share'!H136)-(R136*'Future Type Share'!AI22))/('Future Type Share'!AG22+'Future Type Share'!AE22)</f>
        <v>0</v>
      </c>
      <c r="AE136" s="111">
        <f>(('Future Type Share'!AL22*'Future EndUse Share'!I136)-(S136*'Future Type Share'!AJ22))/('Future Type Share'!AH22+'Future Type Share'!AF22)</f>
        <v>0</v>
      </c>
      <c r="AF136" s="17"/>
      <c r="AG136" s="17">
        <f>IF(AA136&gt;10,AA136,0)</f>
        <v>0</v>
      </c>
      <c r="AH136" s="17"/>
      <c r="AJ136" s="152">
        <v>2022</v>
      </c>
      <c r="AK136" s="111">
        <v>0</v>
      </c>
      <c r="AL136" s="111">
        <v>0.33989367985823965</v>
      </c>
      <c r="AM136" s="111">
        <v>0</v>
      </c>
      <c r="AN136" s="111">
        <v>0</v>
      </c>
      <c r="AO136" s="111">
        <f t="shared" si="35"/>
        <v>0.66010632014176029</v>
      </c>
      <c r="AP136" s="111">
        <v>0</v>
      </c>
      <c r="AQ136" s="25">
        <f t="shared" si="36"/>
        <v>1</v>
      </c>
    </row>
    <row r="137" spans="1:43">
      <c r="B137" s="23">
        <v>2023</v>
      </c>
      <c r="C137" s="111">
        <v>0.25</v>
      </c>
      <c r="D137" s="17">
        <v>0.09</v>
      </c>
      <c r="E137" s="17">
        <v>0.11</v>
      </c>
      <c r="F137" s="17">
        <v>0.05</v>
      </c>
      <c r="G137" s="17">
        <v>0.11</v>
      </c>
      <c r="H137" s="17">
        <v>0.39</v>
      </c>
      <c r="I137" s="25">
        <v>1</v>
      </c>
      <c r="L137" s="23">
        <v>2023</v>
      </c>
      <c r="M137" s="111">
        <v>0.28000000000000003</v>
      </c>
      <c r="N137" s="111">
        <v>0.06</v>
      </c>
      <c r="O137" s="111">
        <v>0.12</v>
      </c>
      <c r="P137" s="111">
        <v>0.06</v>
      </c>
      <c r="Q137" s="17">
        <v>0.06</v>
      </c>
      <c r="R137" s="17">
        <v>0.42</v>
      </c>
      <c r="S137" s="25">
        <v>1</v>
      </c>
      <c r="T137" s="17"/>
      <c r="X137" s="23">
        <v>2023</v>
      </c>
      <c r="Y137" s="111">
        <f>(('Future Type Share'!AF23*'Future EndUse Share'!C137)-(M137*'Future Type Share'!AD23))/('Future Type Share'!AB23+'Future Type Share'!Z23)</f>
        <v>1.2581030507899332E-2</v>
      </c>
      <c r="Z137" s="111">
        <f>((D137*'Future Type Share'!AF24)-('Future Type Share'!AD24*'Future EndUse Share'!N137))/('Future Type Share'!AF24-'Future Type Share'!AD24)</f>
        <v>0.33167947310647822</v>
      </c>
      <c r="AA137" s="111">
        <f>IF((((E136*'Future Type Share'!AF24)-('Future Type Share'!AD24*'Future EndUse Share'!O136))/('Future Type Share'!AF24-'Future Type Share'!AD24))&lt;10%,0,(((E136*'Future Type Share'!AF24)-('Future Type Share'!AD24*'Future EndUse Share'!O136))/('Future Type Share'!AF24-'Future Type Share'!AD24)))</f>
        <v>0</v>
      </c>
      <c r="AB137" s="111">
        <f>(F137-P137*'Future Type Share'!$AE24)/(1-'Future Type Share'!$AE24)</f>
        <v>-3.0559824368826077E-2</v>
      </c>
      <c r="AC137" s="111">
        <f>(G137-Q137*'Future Type Share'!$AE24)/(1-'Future Type Share'!$AE24)</f>
        <v>0.51279912184413057</v>
      </c>
      <c r="AD137" s="111">
        <f>(H137-R137*'Future Type Share'!$AE24)/(1-'Future Type Share'!$AE24)</f>
        <v>0.1483205268935219</v>
      </c>
      <c r="AE137" s="25">
        <f t="shared" ref="AE137:AE164" si="38">SUM(Y137:AD137)</f>
        <v>0.97482032798320395</v>
      </c>
      <c r="AF137" s="17"/>
      <c r="AG137" s="17"/>
      <c r="AH137" s="17"/>
      <c r="AJ137" s="152">
        <v>2023</v>
      </c>
      <c r="AK137" s="111">
        <v>0</v>
      </c>
      <c r="AL137" s="111">
        <v>0.34097271648873079</v>
      </c>
      <c r="AM137" s="111">
        <v>0</v>
      </c>
      <c r="AN137" s="111">
        <v>0</v>
      </c>
      <c r="AO137" s="111">
        <f t="shared" si="35"/>
        <v>0.65902728351126916</v>
      </c>
      <c r="AP137" s="111">
        <v>0</v>
      </c>
      <c r="AQ137" s="25">
        <f t="shared" si="36"/>
        <v>1</v>
      </c>
    </row>
    <row r="138" spans="1:43">
      <c r="B138" s="23">
        <v>2024</v>
      </c>
      <c r="C138" s="111">
        <v>0.25</v>
      </c>
      <c r="D138" s="17">
        <v>0.09</v>
      </c>
      <c r="E138" s="17">
        <v>0.11</v>
      </c>
      <c r="F138" s="17">
        <v>0.05</v>
      </c>
      <c r="G138" s="17">
        <v>0.11</v>
      </c>
      <c r="H138" s="17">
        <v>0.39</v>
      </c>
      <c r="I138" s="25">
        <v>1</v>
      </c>
      <c r="L138" s="23">
        <v>2024</v>
      </c>
      <c r="M138" s="111">
        <v>0.28000000000000003</v>
      </c>
      <c r="N138" s="111">
        <v>0.06</v>
      </c>
      <c r="O138" s="111">
        <v>0.12</v>
      </c>
      <c r="P138" s="111">
        <v>0.06</v>
      </c>
      <c r="Q138" s="17">
        <v>0.06</v>
      </c>
      <c r="R138" s="17">
        <v>0.42</v>
      </c>
      <c r="S138" s="25">
        <v>1</v>
      </c>
      <c r="T138" s="17"/>
      <c r="X138" s="23">
        <v>2024</v>
      </c>
      <c r="Y138" s="111">
        <f>(('Future Type Share'!AF24*'Future EndUse Share'!C138)-(M138*'Future Type Share'!AD24))/('Future Type Share'!AB24+'Future Type Share'!Z24)</f>
        <v>6.9600766190903302E-3</v>
      </c>
      <c r="Z138" s="111">
        <f>((D138*'Future Type Share'!AF25)-('Future Type Share'!AD25*'Future EndUse Share'!N138))/('Future Type Share'!AF25-'Future Type Share'!AD25)</f>
        <v>0.33731092436974974</v>
      </c>
      <c r="AA138" s="111">
        <f>IF((((E137*'Future Type Share'!AF25)-('Future Type Share'!AD25*'Future EndUse Share'!O137))/('Future Type Share'!AF25-'Future Type Share'!AD25))&lt;10%,0,(((E137*'Future Type Share'!AF25)-('Future Type Share'!AD25*'Future EndUse Share'!O137))/('Future Type Share'!AF25-'Future Type Share'!AD25)))</f>
        <v>0</v>
      </c>
      <c r="AB138" s="111">
        <f>(F138-P138*'Future Type Share'!$AE25)/(1-'Future Type Share'!$AE25)</f>
        <v>-3.2436974789916528E-2</v>
      </c>
      <c r="AC138" s="111">
        <f>(G138-Q138*'Future Type Share'!$AE25)/(1-'Future Type Share'!$AE25)</f>
        <v>0.5221848739495828</v>
      </c>
      <c r="AD138" s="111">
        <f>(H138-R138*'Future Type Share'!$AE25)/(1-'Future Type Share'!$AE25)</f>
        <v>0.14268907563025046</v>
      </c>
      <c r="AE138" s="25">
        <f t="shared" si="38"/>
        <v>0.97670797577875679</v>
      </c>
      <c r="AF138" s="17"/>
      <c r="AG138" s="17"/>
      <c r="AH138" s="17"/>
      <c r="AJ138" s="152">
        <v>2024</v>
      </c>
      <c r="AK138" s="111">
        <v>0</v>
      </c>
      <c r="AL138" s="111">
        <v>0.34206075044669432</v>
      </c>
      <c r="AM138" s="111">
        <v>0</v>
      </c>
      <c r="AN138" s="111">
        <v>0</v>
      </c>
      <c r="AO138" s="111">
        <f>1-AL138</f>
        <v>0.65793924955330563</v>
      </c>
      <c r="AP138" s="111">
        <v>0</v>
      </c>
      <c r="AQ138" s="25">
        <f t="shared" si="36"/>
        <v>1</v>
      </c>
    </row>
    <row r="139" spans="1:43">
      <c r="B139" s="23">
        <v>2025</v>
      </c>
      <c r="C139" s="111">
        <v>0.25</v>
      </c>
      <c r="D139" s="17">
        <v>0.09</v>
      </c>
      <c r="E139" s="17">
        <v>0.11</v>
      </c>
      <c r="F139" s="17">
        <v>0.05</v>
      </c>
      <c r="G139" s="17">
        <v>0.11</v>
      </c>
      <c r="H139" s="17">
        <v>0.39</v>
      </c>
      <c r="I139" s="25">
        <v>1</v>
      </c>
      <c r="L139" s="23">
        <v>2025</v>
      </c>
      <c r="M139" s="111">
        <v>0.28000000000000003</v>
      </c>
      <c r="N139" s="111">
        <v>0.06</v>
      </c>
      <c r="O139" s="111">
        <v>0.12</v>
      </c>
      <c r="P139" s="111">
        <v>0.06</v>
      </c>
      <c r="Q139" s="17">
        <v>0.06</v>
      </c>
      <c r="R139" s="17">
        <v>0.42</v>
      </c>
      <c r="S139" s="25">
        <v>1</v>
      </c>
      <c r="T139" s="17"/>
      <c r="X139" s="23">
        <v>2025</v>
      </c>
      <c r="Y139" s="111">
        <f>(('Future Type Share'!AF25*'Future EndUse Share'!C139)-(M139*'Future Type Share'!AD25))/('Future Type Share'!AB25+'Future Type Share'!Z25)</f>
        <v>2.219086033777534E-3</v>
      </c>
      <c r="Z139" s="111">
        <f>((D139*'Future Type Share'!AF26)-('Future Type Share'!AD26*'Future EndUse Share'!N139))/('Future Type Share'!AF26-'Future Type Share'!AD26)</f>
        <v>0.33272727272727276</v>
      </c>
      <c r="AA139" s="111">
        <f>IF((((E138*'Future Type Share'!AF26)-('Future Type Share'!AD26*'Future EndUse Share'!O138))/('Future Type Share'!AF26-'Future Type Share'!AD26))&lt;10%,0,(((E138*'Future Type Share'!AF26)-('Future Type Share'!AD26*'Future EndUse Share'!O138))/('Future Type Share'!AF26-'Future Type Share'!AD26)))</f>
        <v>0</v>
      </c>
      <c r="AB139" s="111">
        <f>(F139-P139*'Future Type Share'!$AE26)/(1-'Future Type Share'!$AE26)</f>
        <v>-3.0909090909090851E-2</v>
      </c>
      <c r="AC139" s="111">
        <f>(G139-Q139*'Future Type Share'!$AE26)/(1-'Future Type Share'!$AE26)</f>
        <v>0.51454545454545464</v>
      </c>
      <c r="AD139" s="111">
        <f>(H139-R139*'Future Type Share'!$AE26)/(1-'Future Type Share'!$AE26)</f>
        <v>0.14727272727272772</v>
      </c>
      <c r="AE139" s="25">
        <f t="shared" si="38"/>
        <v>0.9658554496701417</v>
      </c>
      <c r="AF139" s="17"/>
      <c r="AG139" s="17"/>
      <c r="AH139" s="17"/>
      <c r="AJ139" s="152">
        <v>2025</v>
      </c>
      <c r="AK139" s="111">
        <v>0</v>
      </c>
      <c r="AL139" s="111">
        <v>0.34315789473684222</v>
      </c>
      <c r="AM139" s="111">
        <v>0</v>
      </c>
      <c r="AN139" s="111">
        <v>0</v>
      </c>
      <c r="AO139" s="111">
        <f t="shared" si="35"/>
        <v>0.65684210526315778</v>
      </c>
      <c r="AP139" s="111">
        <v>0</v>
      </c>
      <c r="AQ139" s="25">
        <f t="shared" si="36"/>
        <v>1</v>
      </c>
    </row>
    <row r="140" spans="1:43">
      <c r="B140" s="23">
        <v>2026</v>
      </c>
      <c r="C140" s="111">
        <v>0.25</v>
      </c>
      <c r="D140" s="17">
        <v>0.09</v>
      </c>
      <c r="E140" s="17">
        <v>0.11</v>
      </c>
      <c r="F140" s="17">
        <v>0.05</v>
      </c>
      <c r="G140" s="17">
        <v>0.11</v>
      </c>
      <c r="H140" s="17">
        <v>0.39</v>
      </c>
      <c r="I140" s="25">
        <v>1</v>
      </c>
      <c r="L140" s="23">
        <v>2026</v>
      </c>
      <c r="M140" s="111">
        <v>0.28000000000000003</v>
      </c>
      <c r="N140" s="111">
        <v>0.06</v>
      </c>
      <c r="O140" s="111">
        <v>0.12</v>
      </c>
      <c r="P140" s="111">
        <v>0.06</v>
      </c>
      <c r="Q140" s="17">
        <v>0.06</v>
      </c>
      <c r="R140" s="17">
        <v>0.42</v>
      </c>
      <c r="S140" s="25">
        <v>1</v>
      </c>
      <c r="T140" s="17"/>
      <c r="X140" s="23">
        <v>2026</v>
      </c>
      <c r="Y140" s="111">
        <f>(('Future Type Share'!AF26*'Future EndUse Share'!C140)-(M140*'Future Type Share'!AD26))/('Future Type Share'!AB26+'Future Type Share'!Z26)</f>
        <v>6.1446998781695761E-3</v>
      </c>
      <c r="Z140" s="111">
        <f>((D140*'Future Type Share'!AF27)-('Future Type Share'!AD27*'Future EndUse Share'!N140))/('Future Type Share'!AF27-'Future Type Share'!AD27)</f>
        <v>0.33272727272727276</v>
      </c>
      <c r="AA140" s="111">
        <f>IF((((E139*'Future Type Share'!AF27)-('Future Type Share'!AD27*'Future EndUse Share'!O139))/('Future Type Share'!AF27-'Future Type Share'!AD27))&lt;10%,0,(((E139*'Future Type Share'!AF27)-('Future Type Share'!AD27*'Future EndUse Share'!O139))/('Future Type Share'!AF27-'Future Type Share'!AD27)))</f>
        <v>0</v>
      </c>
      <c r="AB140" s="111">
        <f>(F140-P140*'Future Type Share'!$AE27)/(1-'Future Type Share'!$AE27)</f>
        <v>-3.0909090909090851E-2</v>
      </c>
      <c r="AC140" s="111">
        <f>(G140-Q140*'Future Type Share'!$AE27)/(1-'Future Type Share'!$AE27)</f>
        <v>0.51454545454545464</v>
      </c>
      <c r="AD140" s="111">
        <f>(H140-R140*'Future Type Share'!$AE27)/(1-'Future Type Share'!$AE27)</f>
        <v>0.14727272727272772</v>
      </c>
      <c r="AE140" s="25">
        <f t="shared" si="38"/>
        <v>0.96978106351453386</v>
      </c>
      <c r="AF140" s="17"/>
      <c r="AG140" s="17"/>
      <c r="AH140" s="17"/>
      <c r="AJ140" s="152">
        <v>2026</v>
      </c>
      <c r="AK140" s="111">
        <v>0</v>
      </c>
      <c r="AL140" s="111">
        <v>0.34426426426426415</v>
      </c>
      <c r="AM140" s="111">
        <v>0</v>
      </c>
      <c r="AN140" s="111">
        <v>0</v>
      </c>
      <c r="AO140" s="111">
        <f t="shared" si="35"/>
        <v>0.65573573573573585</v>
      </c>
      <c r="AP140" s="111">
        <v>0</v>
      </c>
      <c r="AQ140" s="25">
        <f t="shared" si="36"/>
        <v>1</v>
      </c>
    </row>
    <row r="141" spans="1:43">
      <c r="B141" s="23">
        <v>2027</v>
      </c>
      <c r="C141" s="111">
        <v>0.25</v>
      </c>
      <c r="D141" s="17">
        <v>0.09</v>
      </c>
      <c r="E141" s="17">
        <v>0.11</v>
      </c>
      <c r="F141" s="17">
        <v>0.05</v>
      </c>
      <c r="G141" s="17">
        <v>0.11</v>
      </c>
      <c r="H141" s="17">
        <v>0.39</v>
      </c>
      <c r="I141" s="25">
        <v>1</v>
      </c>
      <c r="L141" s="23">
        <v>2027</v>
      </c>
      <c r="M141" s="111">
        <v>0.28000000000000003</v>
      </c>
      <c r="N141" s="111">
        <v>0.06</v>
      </c>
      <c r="O141" s="111">
        <v>0.12</v>
      </c>
      <c r="P141" s="111">
        <v>0.06</v>
      </c>
      <c r="Q141" s="17">
        <v>0.06</v>
      </c>
      <c r="R141" s="17">
        <v>0.42</v>
      </c>
      <c r="S141" s="25">
        <v>1</v>
      </c>
      <c r="T141" s="17"/>
      <c r="X141" s="23">
        <v>2027</v>
      </c>
      <c r="Y141" s="111">
        <f>(('Future Type Share'!AF27*'Future EndUse Share'!C141)-(M141*'Future Type Share'!AD27))/('Future Type Share'!AB27+'Future Type Share'!Z27)</f>
        <v>6.1868649630669069E-3</v>
      </c>
      <c r="Z141" s="111">
        <f>((D141*'Future Type Share'!AF28)-('Future Type Share'!AD28*'Future EndUse Share'!N141))/('Future Type Share'!AF28-'Future Type Share'!AD28)</f>
        <v>0.33272727272727265</v>
      </c>
      <c r="AA141" s="111">
        <f>IF((((E140*'Future Type Share'!AF28)-('Future Type Share'!AD28*'Future EndUse Share'!O140))/('Future Type Share'!AF28-'Future Type Share'!AD28))&lt;10%,0,(((E140*'Future Type Share'!AF28)-('Future Type Share'!AD28*'Future EndUse Share'!O140))/('Future Type Share'!AF28-'Future Type Share'!AD28)))</f>
        <v>0</v>
      </c>
      <c r="AB141" s="111">
        <f>(F141-P141*'Future Type Share'!$AE28)/(1-'Future Type Share'!$AE28)</f>
        <v>-3.0909090909090851E-2</v>
      </c>
      <c r="AC141" s="111">
        <f>(G141-Q141*'Future Type Share'!$AE28)/(1-'Future Type Share'!$AE28)</f>
        <v>0.51454545454545464</v>
      </c>
      <c r="AD141" s="111">
        <f>(H141-R141*'Future Type Share'!$AE28)/(1-'Future Type Share'!$AE28)</f>
        <v>0.14727272727272772</v>
      </c>
      <c r="AE141" s="25">
        <f t="shared" si="38"/>
        <v>0.96982322859943104</v>
      </c>
      <c r="AF141" s="17"/>
      <c r="AG141" s="17"/>
      <c r="AH141" s="17"/>
      <c r="AJ141" s="152">
        <v>2027</v>
      </c>
      <c r="AK141" s="111">
        <v>0</v>
      </c>
      <c r="AL141" s="111">
        <v>0.34537997587454744</v>
      </c>
      <c r="AM141" s="111">
        <v>0</v>
      </c>
      <c r="AN141" s="111">
        <v>0</v>
      </c>
      <c r="AO141" s="111">
        <f t="shared" si="35"/>
        <v>0.6546200241254525</v>
      </c>
      <c r="AP141" s="111">
        <v>0</v>
      </c>
      <c r="AQ141" s="25">
        <f t="shared" si="36"/>
        <v>1</v>
      </c>
    </row>
    <row r="142" spans="1:43">
      <c r="B142" s="23">
        <v>2028</v>
      </c>
      <c r="C142" s="111">
        <v>0.25</v>
      </c>
      <c r="D142" s="17">
        <v>0.09</v>
      </c>
      <c r="E142" s="17">
        <v>0.11</v>
      </c>
      <c r="F142" s="17">
        <v>0.05</v>
      </c>
      <c r="G142" s="17">
        <v>0.11</v>
      </c>
      <c r="H142" s="17">
        <v>0.39</v>
      </c>
      <c r="I142" s="25">
        <v>1</v>
      </c>
      <c r="L142" s="23">
        <v>2028</v>
      </c>
      <c r="M142" s="111">
        <v>0.28000000000000003</v>
      </c>
      <c r="N142" s="111">
        <v>0.06</v>
      </c>
      <c r="O142" s="111">
        <v>0.12</v>
      </c>
      <c r="P142" s="111">
        <v>0.06</v>
      </c>
      <c r="Q142" s="17">
        <v>0.06</v>
      </c>
      <c r="R142" s="17">
        <v>0.42</v>
      </c>
      <c r="S142" s="25">
        <v>1</v>
      </c>
      <c r="T142" s="17"/>
      <c r="X142" s="23">
        <v>2028</v>
      </c>
      <c r="Y142" s="111">
        <f>(('Future Type Share'!AF28*'Future EndUse Share'!C142)-(M142*'Future Type Share'!AD28))/('Future Type Share'!AB28+'Future Type Share'!Z28)</f>
        <v>6.228981930092501E-3</v>
      </c>
      <c r="Z142" s="111">
        <f>((D142*'Future Type Share'!AF29)-('Future Type Share'!AD29*'Future EndUse Share'!N142))/('Future Type Share'!AF29-'Future Type Share'!AD29)</f>
        <v>0.3327272727272727</v>
      </c>
      <c r="AA142" s="111">
        <f>IF((((E141*'Future Type Share'!AF29)-('Future Type Share'!AD29*'Future EndUse Share'!O141))/('Future Type Share'!AF29-'Future Type Share'!AD29))&lt;10%,0,(((E141*'Future Type Share'!AF29)-('Future Type Share'!AD29*'Future EndUse Share'!O141))/('Future Type Share'!AF29-'Future Type Share'!AD29)))</f>
        <v>0</v>
      </c>
      <c r="AB142" s="111">
        <f>(F142-P142*'Future Type Share'!$AE29)/(1-'Future Type Share'!$AE29)</f>
        <v>-3.0909090909090851E-2</v>
      </c>
      <c r="AC142" s="111">
        <f>(G142-Q142*'Future Type Share'!$AE29)/(1-'Future Type Share'!$AE29)</f>
        <v>0.51454545454545464</v>
      </c>
      <c r="AD142" s="111">
        <f>(H142-R142*'Future Type Share'!$AE29)/(1-'Future Type Share'!$AE29)</f>
        <v>0.14727272727272772</v>
      </c>
      <c r="AE142" s="25">
        <f t="shared" si="38"/>
        <v>0.96986534556645676</v>
      </c>
      <c r="AF142" s="17"/>
      <c r="AG142" s="17"/>
      <c r="AH142" s="17"/>
      <c r="AJ142" s="152">
        <v>2028</v>
      </c>
      <c r="AK142" s="111">
        <v>0</v>
      </c>
      <c r="AL142" s="111">
        <v>0.3465051483949122</v>
      </c>
      <c r="AM142" s="111">
        <v>0</v>
      </c>
      <c r="AN142" s="111">
        <v>0</v>
      </c>
      <c r="AO142" s="111">
        <f t="shared" si="35"/>
        <v>0.6534948516050878</v>
      </c>
      <c r="AP142" s="111">
        <v>0</v>
      </c>
      <c r="AQ142" s="25">
        <f t="shared" si="36"/>
        <v>1</v>
      </c>
    </row>
    <row r="143" spans="1:43">
      <c r="B143" s="23">
        <v>2029</v>
      </c>
      <c r="C143" s="111">
        <v>0.25</v>
      </c>
      <c r="D143" s="17">
        <v>0.09</v>
      </c>
      <c r="E143" s="17">
        <v>0.11</v>
      </c>
      <c r="F143" s="17">
        <v>0.05</v>
      </c>
      <c r="G143" s="17">
        <v>0.11</v>
      </c>
      <c r="H143" s="17">
        <v>0.39</v>
      </c>
      <c r="I143" s="25">
        <v>1</v>
      </c>
      <c r="L143" s="23">
        <v>2029</v>
      </c>
      <c r="M143" s="111">
        <v>0.28000000000000003</v>
      </c>
      <c r="N143" s="111">
        <v>0.06</v>
      </c>
      <c r="O143" s="111">
        <v>0.12</v>
      </c>
      <c r="P143" s="111">
        <v>0.06</v>
      </c>
      <c r="Q143" s="17">
        <v>0.06</v>
      </c>
      <c r="R143" s="17">
        <v>0.42</v>
      </c>
      <c r="S143" s="25">
        <v>1</v>
      </c>
      <c r="T143" s="17"/>
      <c r="X143" s="23">
        <v>2029</v>
      </c>
      <c r="Y143" s="111">
        <f>(('Future Type Share'!AF29*'Future EndUse Share'!C143)-(M143*'Future Type Share'!AD29))/('Future Type Share'!AB29+'Future Type Share'!Z29)</f>
        <v>6.2710508615655396E-3</v>
      </c>
      <c r="Z143" s="111">
        <f>((D143*'Future Type Share'!AF30)-('Future Type Share'!AD30*'Future EndUse Share'!N143))/('Future Type Share'!AF30-'Future Type Share'!AD30)</f>
        <v>0.33272727272727259</v>
      </c>
      <c r="AA143" s="111">
        <f>IF((((E142*'Future Type Share'!AF30)-('Future Type Share'!AD30*'Future EndUse Share'!O142))/('Future Type Share'!AF30-'Future Type Share'!AD30))&lt;10%,0,(((E142*'Future Type Share'!AF30)-('Future Type Share'!AD30*'Future EndUse Share'!O142))/('Future Type Share'!AF30-'Future Type Share'!AD30)))</f>
        <v>0</v>
      </c>
      <c r="AB143" s="111">
        <f>(F143-P143*'Future Type Share'!$AE30)/(1-'Future Type Share'!$AE30)</f>
        <v>-3.0909090909090851E-2</v>
      </c>
      <c r="AC143" s="111">
        <f>(G143-Q143*'Future Type Share'!$AE30)/(1-'Future Type Share'!$AE30)</f>
        <v>0.51454545454545464</v>
      </c>
      <c r="AD143" s="111">
        <f>(H143-R143*'Future Type Share'!$AE30)/(1-'Future Type Share'!$AE30)</f>
        <v>0.14727272727272772</v>
      </c>
      <c r="AE143" s="25">
        <f t="shared" si="38"/>
        <v>0.96990741449792961</v>
      </c>
      <c r="AF143" s="17"/>
      <c r="AG143" s="17"/>
      <c r="AH143" s="17"/>
      <c r="AJ143" s="152">
        <v>2029</v>
      </c>
      <c r="AK143" s="111">
        <v>0</v>
      </c>
      <c r="AL143" s="111">
        <v>0.34763990267639888</v>
      </c>
      <c r="AM143" s="111">
        <v>0</v>
      </c>
      <c r="AN143" s="111">
        <v>0</v>
      </c>
      <c r="AO143" s="111">
        <f t="shared" si="35"/>
        <v>0.65236009732360112</v>
      </c>
      <c r="AP143" s="111">
        <v>0</v>
      </c>
      <c r="AQ143" s="25">
        <f t="shared" si="36"/>
        <v>1</v>
      </c>
    </row>
    <row r="144" spans="1:43">
      <c r="B144" s="23">
        <v>2030</v>
      </c>
      <c r="C144" s="111">
        <v>0.25</v>
      </c>
      <c r="D144" s="17">
        <v>0.09</v>
      </c>
      <c r="E144" s="17">
        <v>0.11</v>
      </c>
      <c r="F144" s="17">
        <v>0.05</v>
      </c>
      <c r="G144" s="17">
        <v>0.11</v>
      </c>
      <c r="H144" s="17">
        <v>0.39</v>
      </c>
      <c r="I144" s="25">
        <v>1</v>
      </c>
      <c r="L144" s="23">
        <v>2030</v>
      </c>
      <c r="M144" s="111">
        <v>0.28000000000000003</v>
      </c>
      <c r="N144" s="111">
        <v>0.06</v>
      </c>
      <c r="O144" s="111">
        <v>0.12</v>
      </c>
      <c r="P144" s="111">
        <v>0.06</v>
      </c>
      <c r="Q144" s="17">
        <v>0.06</v>
      </c>
      <c r="R144" s="17">
        <v>0.42</v>
      </c>
      <c r="S144" s="25">
        <v>1</v>
      </c>
      <c r="T144" s="17"/>
      <c r="X144" s="23">
        <v>2030</v>
      </c>
      <c r="Y144" s="111">
        <f>(('Future Type Share'!AF30*'Future EndUse Share'!C144)-(M144*'Future Type Share'!AD30))/('Future Type Share'!AB30+'Future Type Share'!Z30)</f>
        <v>6.3130718396181978E-3</v>
      </c>
      <c r="Z144" s="111">
        <f>((D144*'Future Type Share'!AF31)-('Future Type Share'!AD31*'Future EndUse Share'!N144))/('Future Type Share'!AF31-'Future Type Share'!AD31)</f>
        <v>0.33272727272727259</v>
      </c>
      <c r="AA144" s="111">
        <f>IF((((E143*'Future Type Share'!AF31)-('Future Type Share'!AD31*'Future EndUse Share'!O143))/('Future Type Share'!AF31-'Future Type Share'!AD31))&lt;10%,0,(((E143*'Future Type Share'!AF31)-('Future Type Share'!AD31*'Future EndUse Share'!O143))/('Future Type Share'!AF31-'Future Type Share'!AD31)))</f>
        <v>0</v>
      </c>
      <c r="AB144" s="111">
        <f>(F144-P144*'Future Type Share'!$AE31)/(1-'Future Type Share'!$AE31)</f>
        <v>-3.0909090909090851E-2</v>
      </c>
      <c r="AC144" s="111">
        <f>(G144-Q144*'Future Type Share'!$AE31)/(1-'Future Type Share'!$AE31)</f>
        <v>0.51454545454545464</v>
      </c>
      <c r="AD144" s="111">
        <f>(H144-R144*'Future Type Share'!$AE31)/(1-'Future Type Share'!$AE31)</f>
        <v>0.14727272727272772</v>
      </c>
      <c r="AE144" s="25">
        <f t="shared" si="38"/>
        <v>0.96994943547598234</v>
      </c>
      <c r="AF144" s="17"/>
      <c r="AG144" s="17"/>
      <c r="AH144" s="17"/>
      <c r="AJ144" s="152">
        <v>2030</v>
      </c>
      <c r="AK144" s="111">
        <v>0</v>
      </c>
      <c r="AL144" s="111">
        <v>0.34878436163714122</v>
      </c>
      <c r="AM144" s="111">
        <v>0</v>
      </c>
      <c r="AN144" s="111">
        <v>0</v>
      </c>
      <c r="AO144" s="111">
        <f t="shared" si="35"/>
        <v>0.65121563836285878</v>
      </c>
      <c r="AP144" s="111">
        <v>0</v>
      </c>
      <c r="AQ144" s="25">
        <f t="shared" si="36"/>
        <v>1</v>
      </c>
    </row>
    <row r="145" spans="2:43">
      <c r="B145" s="23">
        <v>2031</v>
      </c>
      <c r="C145" s="111">
        <v>0.25</v>
      </c>
      <c r="D145" s="17">
        <v>0.09</v>
      </c>
      <c r="E145" s="17">
        <v>0.11</v>
      </c>
      <c r="F145" s="17">
        <v>0.05</v>
      </c>
      <c r="G145" s="17">
        <v>0.11</v>
      </c>
      <c r="H145" s="17">
        <v>0.39</v>
      </c>
      <c r="I145" s="25">
        <v>1</v>
      </c>
      <c r="L145" s="23">
        <v>2031</v>
      </c>
      <c r="M145" s="111">
        <v>0.28000000000000003</v>
      </c>
      <c r="N145" s="111">
        <v>0.06</v>
      </c>
      <c r="O145" s="111">
        <v>0.12</v>
      </c>
      <c r="P145" s="111">
        <v>0.06</v>
      </c>
      <c r="Q145" s="17">
        <v>0.06</v>
      </c>
      <c r="R145" s="17">
        <v>0.42</v>
      </c>
      <c r="S145" s="25">
        <v>1</v>
      </c>
      <c r="T145" s="17"/>
      <c r="X145" s="23">
        <v>2031</v>
      </c>
      <c r="Y145" s="111">
        <f>(('Future Type Share'!AF31*'Future EndUse Share'!C145)-(M145*'Future Type Share'!AD31))/('Future Type Share'!AB31+'Future Type Share'!Z31)</f>
        <v>6.3550449461955158E-3</v>
      </c>
      <c r="Z145" s="111">
        <f>((D145*'Future Type Share'!AF32)-('Future Type Share'!AD32*'Future EndUse Share'!N145))/('Future Type Share'!AF32-'Future Type Share'!AD32)</f>
        <v>0.33272727272727276</v>
      </c>
      <c r="AA145" s="111">
        <f>IF((((E144*'Future Type Share'!AF32)-('Future Type Share'!AD32*'Future EndUse Share'!O144))/('Future Type Share'!AF32-'Future Type Share'!AD32))&lt;10%,0,(((E144*'Future Type Share'!AF32)-('Future Type Share'!AD32*'Future EndUse Share'!O144))/('Future Type Share'!AF32-'Future Type Share'!AD32)))</f>
        <v>0</v>
      </c>
      <c r="AB145" s="111">
        <f>(F145-P145*'Future Type Share'!$AE32)/(1-'Future Type Share'!$AE32)</f>
        <v>-3.0909090909090851E-2</v>
      </c>
      <c r="AC145" s="111">
        <f>(G145-Q145*'Future Type Share'!$AE32)/(1-'Future Type Share'!$AE32)</f>
        <v>0.51454545454545464</v>
      </c>
      <c r="AD145" s="111">
        <f>(H145-R145*'Future Type Share'!$AE32)/(1-'Future Type Share'!$AE32)</f>
        <v>0.14727272727272772</v>
      </c>
      <c r="AE145" s="25">
        <f t="shared" si="38"/>
        <v>0.96999140858255983</v>
      </c>
      <c r="AF145" s="17"/>
      <c r="AG145" s="17"/>
      <c r="AH145" s="17"/>
      <c r="AJ145" s="152">
        <v>2031</v>
      </c>
      <c r="AK145" s="111">
        <v>0</v>
      </c>
      <c r="AL145" s="111">
        <v>0.34993865030674837</v>
      </c>
      <c r="AM145" s="111">
        <v>0</v>
      </c>
      <c r="AN145" s="111">
        <v>0</v>
      </c>
      <c r="AO145" s="111">
        <f t="shared" si="35"/>
        <v>0.65006134969325169</v>
      </c>
      <c r="AP145" s="111">
        <v>0</v>
      </c>
      <c r="AQ145" s="25">
        <f t="shared" si="36"/>
        <v>1</v>
      </c>
    </row>
    <row r="146" spans="2:43">
      <c r="B146" s="23">
        <v>2032</v>
      </c>
      <c r="C146" s="111">
        <v>0.25</v>
      </c>
      <c r="D146" s="17">
        <v>0.09</v>
      </c>
      <c r="E146" s="17">
        <v>0.11</v>
      </c>
      <c r="F146" s="17">
        <v>0.05</v>
      </c>
      <c r="G146" s="17">
        <v>0.11</v>
      </c>
      <c r="H146" s="17">
        <v>0.39</v>
      </c>
      <c r="I146" s="25">
        <v>1</v>
      </c>
      <c r="L146" s="23">
        <v>2032</v>
      </c>
      <c r="M146" s="111">
        <v>0.28000000000000003</v>
      </c>
      <c r="N146" s="111">
        <v>0.06</v>
      </c>
      <c r="O146" s="111">
        <v>0.12</v>
      </c>
      <c r="P146" s="111">
        <v>0.06</v>
      </c>
      <c r="Q146" s="17">
        <v>0.06</v>
      </c>
      <c r="R146" s="17">
        <v>0.42</v>
      </c>
      <c r="S146" s="25">
        <v>1</v>
      </c>
      <c r="T146" s="17"/>
      <c r="X146" s="23">
        <v>2032</v>
      </c>
      <c r="Y146" s="111">
        <f>(('Future Type Share'!AF32*'Future EndUse Share'!C146)-(M146*'Future Type Share'!AD32))/('Future Type Share'!AB32+'Future Type Share'!Z32)</f>
        <v>6.3969702630548323E-3</v>
      </c>
      <c r="Z146" s="111">
        <f>((D146*'Future Type Share'!AF33)-('Future Type Share'!AD33*'Future EndUse Share'!N146))/('Future Type Share'!AF33-'Future Type Share'!AD33)</f>
        <v>0.33272727272727287</v>
      </c>
      <c r="AA146" s="111">
        <f>IF((((E145*'Future Type Share'!AF33)-('Future Type Share'!AD33*'Future EndUse Share'!O145))/('Future Type Share'!AF33-'Future Type Share'!AD33))&lt;10%,0,(((E145*'Future Type Share'!AF33)-('Future Type Share'!AD33*'Future EndUse Share'!O145))/('Future Type Share'!AF33-'Future Type Share'!AD33)))</f>
        <v>0</v>
      </c>
      <c r="AB146" s="111">
        <f>(F146-P146*'Future Type Share'!$AE33)/(1-'Future Type Share'!$AE33)</f>
        <v>-3.0909090909090851E-2</v>
      </c>
      <c r="AC146" s="111">
        <f>(G146-Q146*'Future Type Share'!$AE33)/(1-'Future Type Share'!$AE33)</f>
        <v>0.51454545454545464</v>
      </c>
      <c r="AD146" s="111">
        <f>(H146-R146*'Future Type Share'!$AE33)/(1-'Future Type Share'!$AE33)</f>
        <v>0.14727272727272772</v>
      </c>
      <c r="AE146" s="25">
        <f t="shared" si="38"/>
        <v>0.97003333389941915</v>
      </c>
      <c r="AF146" s="17"/>
      <c r="AG146" s="17"/>
      <c r="AH146" s="17"/>
      <c r="AJ146" s="152">
        <v>2032</v>
      </c>
      <c r="AK146" s="111">
        <v>0</v>
      </c>
      <c r="AL146" s="111">
        <v>0.35110289587184207</v>
      </c>
      <c r="AM146" s="111">
        <v>0</v>
      </c>
      <c r="AN146" s="111">
        <v>0</v>
      </c>
      <c r="AO146" s="111">
        <f t="shared" si="35"/>
        <v>0.64889710412815793</v>
      </c>
      <c r="AP146" s="111">
        <v>0</v>
      </c>
      <c r="AQ146" s="25">
        <f t="shared" si="36"/>
        <v>1</v>
      </c>
    </row>
    <row r="147" spans="2:43">
      <c r="B147" s="23">
        <v>2033</v>
      </c>
      <c r="C147" s="111">
        <v>0.25</v>
      </c>
      <c r="D147" s="17">
        <v>0.09</v>
      </c>
      <c r="E147" s="17">
        <v>0.11</v>
      </c>
      <c r="F147" s="17">
        <v>0.05</v>
      </c>
      <c r="G147" s="17">
        <v>0.11</v>
      </c>
      <c r="H147" s="17">
        <v>0.39</v>
      </c>
      <c r="I147" s="25">
        <v>1</v>
      </c>
      <c r="L147" s="23">
        <v>2033</v>
      </c>
      <c r="M147" s="111">
        <v>0.28000000000000003</v>
      </c>
      <c r="N147" s="111">
        <v>0.06</v>
      </c>
      <c r="O147" s="111">
        <v>0.12</v>
      </c>
      <c r="P147" s="111">
        <v>0.06</v>
      </c>
      <c r="Q147" s="17">
        <v>0.06</v>
      </c>
      <c r="R147" s="17">
        <v>0.42</v>
      </c>
      <c r="S147" s="25">
        <v>1</v>
      </c>
      <c r="T147" s="17"/>
      <c r="X147" s="23">
        <v>2033</v>
      </c>
      <c r="Y147" s="111">
        <f>(('Future Type Share'!AF33*'Future EndUse Share'!C147)-(M147*'Future Type Share'!AD33))/('Future Type Share'!AB33+'Future Type Share'!Z33)</f>
        <v>6.4388478717693955E-3</v>
      </c>
      <c r="Z147" s="111">
        <f>((D147*'Future Type Share'!AF34)-('Future Type Share'!AD34*'Future EndUse Share'!N147))/('Future Type Share'!AF34-'Future Type Share'!AD34)</f>
        <v>0.33272727272727276</v>
      </c>
      <c r="AA147" s="111">
        <f>IF((((E146*'Future Type Share'!AF34)-('Future Type Share'!AD34*'Future EndUse Share'!O146))/('Future Type Share'!AF34-'Future Type Share'!AD34))&lt;10%,0,(((E146*'Future Type Share'!AF34)-('Future Type Share'!AD34*'Future EndUse Share'!O146))/('Future Type Share'!AF34-'Future Type Share'!AD34)))</f>
        <v>0</v>
      </c>
      <c r="AB147" s="111">
        <f>(F147-P147*'Future Type Share'!$AE34)/(1-'Future Type Share'!$AE34)</f>
        <v>-3.0909090909090851E-2</v>
      </c>
      <c r="AC147" s="111">
        <f>(G147-Q147*'Future Type Share'!$AE34)/(1-'Future Type Share'!$AE34)</f>
        <v>0.51454545454545464</v>
      </c>
      <c r="AD147" s="111">
        <f>(H147-R147*'Future Type Share'!$AE34)/(1-'Future Type Share'!$AE34)</f>
        <v>0.14727272727272772</v>
      </c>
      <c r="AE147" s="25">
        <f t="shared" si="38"/>
        <v>0.97007521150813369</v>
      </c>
      <c r="AF147" s="17"/>
      <c r="AG147" s="17"/>
      <c r="AH147" s="17"/>
      <c r="AJ147" s="152">
        <v>2033</v>
      </c>
      <c r="AK147" s="111">
        <v>0</v>
      </c>
      <c r="AL147" s="111">
        <v>0.35227722772277231</v>
      </c>
      <c r="AM147" s="111">
        <v>0</v>
      </c>
      <c r="AN147" s="111">
        <v>0</v>
      </c>
      <c r="AO147" s="111">
        <f t="shared" si="35"/>
        <v>0.64772277227722763</v>
      </c>
      <c r="AP147" s="111">
        <v>0</v>
      </c>
      <c r="AQ147" s="25">
        <f t="shared" si="36"/>
        <v>1</v>
      </c>
    </row>
    <row r="148" spans="2:43">
      <c r="B148" s="23">
        <v>2034</v>
      </c>
      <c r="C148" s="111">
        <v>0.25</v>
      </c>
      <c r="D148" s="17">
        <v>0.09</v>
      </c>
      <c r="E148" s="17">
        <v>0.11</v>
      </c>
      <c r="F148" s="17">
        <v>0.05</v>
      </c>
      <c r="G148" s="17">
        <v>0.11</v>
      </c>
      <c r="H148" s="17">
        <v>0.39</v>
      </c>
      <c r="I148" s="25">
        <v>1</v>
      </c>
      <c r="L148" s="23">
        <v>2034</v>
      </c>
      <c r="M148" s="111">
        <v>0.28000000000000003</v>
      </c>
      <c r="N148" s="111">
        <v>0.06</v>
      </c>
      <c r="O148" s="111">
        <v>0.12</v>
      </c>
      <c r="P148" s="111">
        <v>0.06</v>
      </c>
      <c r="Q148" s="17">
        <v>0.06</v>
      </c>
      <c r="R148" s="17">
        <v>0.42</v>
      </c>
      <c r="S148" s="25">
        <v>1</v>
      </c>
      <c r="T148" s="17"/>
      <c r="X148" s="23">
        <v>2034</v>
      </c>
      <c r="Y148" s="111">
        <f>(('Future Type Share'!AF34*'Future EndUse Share'!C148)-(M148*'Future Type Share'!AD34))/('Future Type Share'!AB34+'Future Type Share'!Z34)</f>
        <v>6.4806778537253706E-3</v>
      </c>
      <c r="Z148" s="111">
        <f>((D148*'Future Type Share'!AF35)-('Future Type Share'!AD35*'Future EndUse Share'!N148))/('Future Type Share'!AF35-'Future Type Share'!AD35)</f>
        <v>0.33272727272727276</v>
      </c>
      <c r="AA148" s="111">
        <f>IF((((E147*'Future Type Share'!AF35)-('Future Type Share'!AD35*'Future EndUse Share'!O147))/('Future Type Share'!AF35-'Future Type Share'!AD35))&lt;10%,0,(((E147*'Future Type Share'!AF35)-('Future Type Share'!AD35*'Future EndUse Share'!O147))/('Future Type Share'!AF35-'Future Type Share'!AD35)))</f>
        <v>0</v>
      </c>
      <c r="AB148" s="111">
        <f>(F148-P148*'Future Type Share'!$AE35)/(1-'Future Type Share'!$AE35)</f>
        <v>-3.0909090909090851E-2</v>
      </c>
      <c r="AC148" s="111">
        <f>(G148-Q148*'Future Type Share'!$AE35)/(1-'Future Type Share'!$AE35)</f>
        <v>0.51454545454545464</v>
      </c>
      <c r="AD148" s="111">
        <f>(H148-R148*'Future Type Share'!$AE35)/(1-'Future Type Share'!$AE35)</f>
        <v>0.14727272727272772</v>
      </c>
      <c r="AE148" s="25">
        <f t="shared" si="38"/>
        <v>0.9701170414900897</v>
      </c>
      <c r="AF148" s="17"/>
      <c r="AG148" s="17"/>
      <c r="AH148" s="17"/>
      <c r="AJ148" s="152">
        <v>2034</v>
      </c>
      <c r="AK148" s="111">
        <v>0</v>
      </c>
      <c r="AL148" s="111">
        <v>0.35346177750155361</v>
      </c>
      <c r="AM148" s="111">
        <v>0</v>
      </c>
      <c r="AN148" s="111">
        <v>0</v>
      </c>
      <c r="AO148" s="111">
        <f t="shared" si="35"/>
        <v>0.64653822249844639</v>
      </c>
      <c r="AP148" s="111">
        <v>0</v>
      </c>
      <c r="AQ148" s="25">
        <f t="shared" si="36"/>
        <v>1</v>
      </c>
    </row>
    <row r="149" spans="2:43">
      <c r="B149" s="23">
        <v>2035</v>
      </c>
      <c r="C149" s="111">
        <v>0.25</v>
      </c>
      <c r="D149" s="17">
        <v>0.09</v>
      </c>
      <c r="E149" s="17">
        <v>0.11</v>
      </c>
      <c r="F149" s="17">
        <v>0.05</v>
      </c>
      <c r="G149" s="17">
        <v>0.11</v>
      </c>
      <c r="H149" s="17">
        <v>0.39</v>
      </c>
      <c r="I149" s="25">
        <v>1</v>
      </c>
      <c r="L149" s="23">
        <v>2035</v>
      </c>
      <c r="M149" s="111">
        <v>0.28000000000000003</v>
      </c>
      <c r="N149" s="111">
        <v>0.06</v>
      </c>
      <c r="O149" s="111">
        <v>0.12</v>
      </c>
      <c r="P149" s="111">
        <v>0.06</v>
      </c>
      <c r="Q149" s="17">
        <v>0.06</v>
      </c>
      <c r="R149" s="17">
        <v>0.42</v>
      </c>
      <c r="S149" s="25">
        <v>1</v>
      </c>
      <c r="T149" s="17"/>
      <c r="X149" s="23">
        <v>2035</v>
      </c>
      <c r="Y149" s="111">
        <f>(('Future Type Share'!AF35*'Future EndUse Share'!C149)-(M149*'Future Type Share'!AD35))/('Future Type Share'!AB35+'Future Type Share'!Z35)</f>
        <v>6.5224602901247904E-3</v>
      </c>
      <c r="Z149" s="111">
        <f>((D149*'Future Type Share'!AF36)-('Future Type Share'!AD36*'Future EndUse Share'!N149))/('Future Type Share'!AF36-'Future Type Share'!AD36)</f>
        <v>0.33272727272727265</v>
      </c>
      <c r="AA149" s="111">
        <f>IF((((E148*'Future Type Share'!AF36)-('Future Type Share'!AD36*'Future EndUse Share'!O148))/('Future Type Share'!AF36-'Future Type Share'!AD36))&lt;10%,0,(((E148*'Future Type Share'!AF36)-('Future Type Share'!AD36*'Future EndUse Share'!O148))/('Future Type Share'!AF36-'Future Type Share'!AD36)))</f>
        <v>0</v>
      </c>
      <c r="AB149" s="111">
        <f>(F149-P149*'Future Type Share'!$AE36)/(1-'Future Type Share'!$AE36)</f>
        <v>-3.0909090909090851E-2</v>
      </c>
      <c r="AC149" s="111">
        <f>(G149-Q149*'Future Type Share'!$AE36)/(1-'Future Type Share'!$AE36)</f>
        <v>0.51454545454545464</v>
      </c>
      <c r="AD149" s="111">
        <f>(H149-R149*'Future Type Share'!$AE36)/(1-'Future Type Share'!$AE36)</f>
        <v>0.14727272727272772</v>
      </c>
      <c r="AE149" s="25">
        <f t="shared" si="38"/>
        <v>0.97015882392648889</v>
      </c>
      <c r="AF149" s="17"/>
      <c r="AG149" s="17"/>
      <c r="AH149" s="17"/>
      <c r="AJ149" s="152">
        <v>2035</v>
      </c>
      <c r="AK149" s="111">
        <v>0</v>
      </c>
      <c r="AL149" s="111">
        <v>0.3546566791510613</v>
      </c>
      <c r="AM149" s="111">
        <v>0</v>
      </c>
      <c r="AN149" s="111">
        <v>0</v>
      </c>
      <c r="AO149" s="111">
        <f t="shared" si="35"/>
        <v>0.64534332084893875</v>
      </c>
      <c r="AP149" s="111">
        <v>0</v>
      </c>
      <c r="AQ149" s="25">
        <f t="shared" si="36"/>
        <v>1</v>
      </c>
    </row>
    <row r="150" spans="2:43">
      <c r="B150" s="23">
        <v>2036</v>
      </c>
      <c r="C150" s="111">
        <v>0.25</v>
      </c>
      <c r="D150" s="17">
        <v>0.09</v>
      </c>
      <c r="E150" s="17">
        <v>0.11</v>
      </c>
      <c r="F150" s="17">
        <v>0.05</v>
      </c>
      <c r="G150" s="17">
        <v>0.11</v>
      </c>
      <c r="H150" s="17">
        <v>0.39</v>
      </c>
      <c r="I150" s="25">
        <v>1</v>
      </c>
      <c r="L150" s="23">
        <v>2036</v>
      </c>
      <c r="M150" s="111">
        <v>0.28000000000000003</v>
      </c>
      <c r="N150" s="111">
        <v>0.06</v>
      </c>
      <c r="O150" s="111">
        <v>0.12</v>
      </c>
      <c r="P150" s="111">
        <v>0.06</v>
      </c>
      <c r="Q150" s="17">
        <v>0.06</v>
      </c>
      <c r="R150" s="17">
        <v>0.42</v>
      </c>
      <c r="S150" s="25">
        <v>1</v>
      </c>
      <c r="T150" s="17"/>
      <c r="X150" s="23">
        <v>2036</v>
      </c>
      <c r="Y150" s="111">
        <f>(('Future Type Share'!AF36*'Future EndUse Share'!C150)-(M150*'Future Type Share'!AD36))/('Future Type Share'!AB36+'Future Type Share'!Z36)</f>
        <v>6.5641952619838809E-3</v>
      </c>
      <c r="Z150" s="111">
        <f>((D150*'Future Type Share'!AF37)-('Future Type Share'!AD37*'Future EndUse Share'!N150))/('Future Type Share'!AF37-'Future Type Share'!AD37)</f>
        <v>0.33272727272727287</v>
      </c>
      <c r="AA150" s="111">
        <f>IF((((E149*'Future Type Share'!AF37)-('Future Type Share'!AD37*'Future EndUse Share'!O149))/('Future Type Share'!AF37-'Future Type Share'!AD37))&lt;10%,0,(((E149*'Future Type Share'!AF37)-('Future Type Share'!AD37*'Future EndUse Share'!O149))/('Future Type Share'!AF37-'Future Type Share'!AD37)))</f>
        <v>0</v>
      </c>
      <c r="AB150" s="111">
        <f>(F150-P150*'Future Type Share'!$AE37)/(1-'Future Type Share'!$AE37)</f>
        <v>-3.0909090909090851E-2</v>
      </c>
      <c r="AC150" s="111">
        <f>(G150-Q150*'Future Type Share'!$AE37)/(1-'Future Type Share'!$AE37)</f>
        <v>0.51454545454545464</v>
      </c>
      <c r="AD150" s="111">
        <f>(H150-R150*'Future Type Share'!$AE37)/(1-'Future Type Share'!$AE37)</f>
        <v>0.14727272727272772</v>
      </c>
      <c r="AE150" s="25">
        <f t="shared" si="38"/>
        <v>0.97020055889834822</v>
      </c>
      <c r="AF150" s="17"/>
      <c r="AG150" s="17"/>
      <c r="AH150" s="17"/>
      <c r="AJ150" s="152">
        <v>2036</v>
      </c>
      <c r="AK150" s="111">
        <v>0</v>
      </c>
      <c r="AL150" s="111">
        <v>0.35586206896551714</v>
      </c>
      <c r="AM150" s="111">
        <v>0</v>
      </c>
      <c r="AN150" s="111">
        <v>0</v>
      </c>
      <c r="AO150" s="111">
        <f t="shared" si="35"/>
        <v>0.6441379310344828</v>
      </c>
      <c r="AP150" s="111">
        <v>0</v>
      </c>
      <c r="AQ150" s="25">
        <f t="shared" si="36"/>
        <v>1</v>
      </c>
    </row>
    <row r="151" spans="2:43">
      <c r="B151" s="23">
        <v>2037</v>
      </c>
      <c r="C151" s="111">
        <v>0.25</v>
      </c>
      <c r="D151" s="17">
        <v>0.09</v>
      </c>
      <c r="E151" s="17">
        <v>0.11</v>
      </c>
      <c r="F151" s="17">
        <v>0.05</v>
      </c>
      <c r="G151" s="17">
        <v>0.11</v>
      </c>
      <c r="H151" s="17">
        <v>0.39</v>
      </c>
      <c r="I151" s="25">
        <v>1</v>
      </c>
      <c r="L151" s="23">
        <v>2037</v>
      </c>
      <c r="M151" s="111">
        <v>0.28000000000000003</v>
      </c>
      <c r="N151" s="111">
        <v>0.06</v>
      </c>
      <c r="O151" s="111">
        <v>0.12</v>
      </c>
      <c r="P151" s="111">
        <v>0.06</v>
      </c>
      <c r="Q151" s="17">
        <v>0.06</v>
      </c>
      <c r="R151" s="17">
        <v>0.42</v>
      </c>
      <c r="S151" s="25">
        <v>1</v>
      </c>
      <c r="T151" s="17"/>
      <c r="X151" s="23">
        <v>2037</v>
      </c>
      <c r="Y151" s="111">
        <f>(('Future Type Share'!AF37*'Future EndUse Share'!C151)-(M151*'Future Type Share'!AD37))/('Future Type Share'!AB37+'Future Type Share'!Z37)</f>
        <v>6.6058828501357816E-3</v>
      </c>
      <c r="Z151" s="111">
        <f>((D151*'Future Type Share'!AF38)-('Future Type Share'!AD38*'Future EndUse Share'!N151))/('Future Type Share'!AF38-'Future Type Share'!AD38)</f>
        <v>0.33272727272727287</v>
      </c>
      <c r="AA151" s="111">
        <f>IF((((E150*'Future Type Share'!AF38)-('Future Type Share'!AD38*'Future EndUse Share'!O150))/('Future Type Share'!AF38-'Future Type Share'!AD38))&lt;10%,0,(((E150*'Future Type Share'!AF38)-('Future Type Share'!AD38*'Future EndUse Share'!O150))/('Future Type Share'!AF38-'Future Type Share'!AD38)))</f>
        <v>0</v>
      </c>
      <c r="AB151" s="111">
        <f>(F151-P151*'Future Type Share'!$AE38)/(1-'Future Type Share'!$AE38)</f>
        <v>-3.0909090909090851E-2</v>
      </c>
      <c r="AC151" s="111">
        <f>(G151-Q151*'Future Type Share'!$AE38)/(1-'Future Type Share'!$AE38)</f>
        <v>0.51454545454545464</v>
      </c>
      <c r="AD151" s="111">
        <f>(H151-R151*'Future Type Share'!$AE38)/(1-'Future Type Share'!$AE38)</f>
        <v>0.14727272727272772</v>
      </c>
      <c r="AE151" s="25">
        <f t="shared" si="38"/>
        <v>0.97024224648650015</v>
      </c>
      <c r="AF151" s="17"/>
      <c r="AG151" s="17"/>
      <c r="AH151" s="17"/>
      <c r="AJ151" s="152">
        <v>2037</v>
      </c>
      <c r="AK151" s="111">
        <v>0</v>
      </c>
      <c r="AL151" s="111">
        <v>0.35707808564231708</v>
      </c>
      <c r="AM151" s="111">
        <v>0</v>
      </c>
      <c r="AN151" s="111">
        <v>0</v>
      </c>
      <c r="AO151" s="111">
        <f t="shared" si="35"/>
        <v>0.64292191435768298</v>
      </c>
      <c r="AP151" s="111">
        <v>0</v>
      </c>
      <c r="AQ151" s="25">
        <f t="shared" si="36"/>
        <v>1</v>
      </c>
    </row>
    <row r="152" spans="2:43">
      <c r="B152" s="23">
        <v>2038</v>
      </c>
      <c r="C152" s="111">
        <v>0.25</v>
      </c>
      <c r="D152" s="17">
        <v>0.09</v>
      </c>
      <c r="E152" s="17">
        <v>0.11</v>
      </c>
      <c r="F152" s="17">
        <v>0.05</v>
      </c>
      <c r="G152" s="17">
        <v>0.11</v>
      </c>
      <c r="H152" s="17">
        <v>0.39</v>
      </c>
      <c r="I152" s="25">
        <v>1</v>
      </c>
      <c r="L152" s="23">
        <v>2038</v>
      </c>
      <c r="M152" s="111">
        <v>0.28000000000000003</v>
      </c>
      <c r="N152" s="111">
        <v>0.06</v>
      </c>
      <c r="O152" s="111">
        <v>0.12</v>
      </c>
      <c r="P152" s="111">
        <v>0.06</v>
      </c>
      <c r="Q152" s="17">
        <v>0.06</v>
      </c>
      <c r="R152" s="17">
        <v>0.42</v>
      </c>
      <c r="S152" s="25">
        <v>1</v>
      </c>
      <c r="T152" s="17"/>
      <c r="X152" s="23">
        <v>2038</v>
      </c>
      <c r="Y152" s="111">
        <f>(('Future Type Share'!AF38*'Future EndUse Share'!C152)-(M152*'Future Type Share'!AD38))/('Future Type Share'!AB38+'Future Type Share'!Z38)</f>
        <v>6.6475231352310623E-3</v>
      </c>
      <c r="Z152" s="111">
        <f>((D152*'Future Type Share'!AF39)-('Future Type Share'!AD39*'Future EndUse Share'!N152))/('Future Type Share'!AF39-'Future Type Share'!AD39)</f>
        <v>0.33272727272727276</v>
      </c>
      <c r="AA152" s="111">
        <f>IF((((E151*'Future Type Share'!AF39)-('Future Type Share'!AD39*'Future EndUse Share'!O151))/('Future Type Share'!AF39-'Future Type Share'!AD39))&lt;10%,0,(((E151*'Future Type Share'!AF39)-('Future Type Share'!AD39*'Future EndUse Share'!O151))/('Future Type Share'!AF39-'Future Type Share'!AD39)))</f>
        <v>0</v>
      </c>
      <c r="AB152" s="111">
        <f>(F152-P152*'Future Type Share'!$AE39)/(1-'Future Type Share'!$AE39)</f>
        <v>-3.0909090909090851E-2</v>
      </c>
      <c r="AC152" s="111">
        <f>(G152-Q152*'Future Type Share'!$AE39)/(1-'Future Type Share'!$AE39)</f>
        <v>0.51454545454545464</v>
      </c>
      <c r="AD152" s="111">
        <f>(H152-R152*'Future Type Share'!$AE39)/(1-'Future Type Share'!$AE39)</f>
        <v>0.14727272727272772</v>
      </c>
      <c r="AE152" s="25">
        <f t="shared" si="38"/>
        <v>0.97028388677159527</v>
      </c>
      <c r="AF152" s="17"/>
      <c r="AG152" s="17"/>
      <c r="AH152" s="17"/>
      <c r="AJ152" s="152">
        <v>2038</v>
      </c>
      <c r="AK152" s="111">
        <v>0</v>
      </c>
      <c r="AL152" s="111">
        <v>0.35830487033523084</v>
      </c>
      <c r="AM152" s="111">
        <v>0</v>
      </c>
      <c r="AN152" s="111">
        <v>0</v>
      </c>
      <c r="AO152" s="111">
        <f t="shared" si="35"/>
        <v>0.64169512966476916</v>
      </c>
      <c r="AP152" s="111">
        <v>0</v>
      </c>
      <c r="AQ152" s="25">
        <f t="shared" si="36"/>
        <v>1</v>
      </c>
    </row>
    <row r="153" spans="2:43">
      <c r="B153" s="23">
        <v>2039</v>
      </c>
      <c r="C153" s="111">
        <v>0.25</v>
      </c>
      <c r="D153" s="17">
        <v>0.09</v>
      </c>
      <c r="E153" s="17">
        <v>0.11</v>
      </c>
      <c r="F153" s="17">
        <v>0.05</v>
      </c>
      <c r="G153" s="17">
        <v>0.11</v>
      </c>
      <c r="H153" s="17">
        <v>0.39</v>
      </c>
      <c r="I153" s="25">
        <v>1</v>
      </c>
      <c r="L153" s="23">
        <v>2039</v>
      </c>
      <c r="M153" s="111">
        <v>0.28000000000000003</v>
      </c>
      <c r="N153" s="111">
        <v>0.06</v>
      </c>
      <c r="O153" s="111">
        <v>0.12</v>
      </c>
      <c r="P153" s="111">
        <v>0.06</v>
      </c>
      <c r="Q153" s="17">
        <v>0.06</v>
      </c>
      <c r="R153" s="17">
        <v>0.42</v>
      </c>
      <c r="S153" s="25">
        <v>1</v>
      </c>
      <c r="T153" s="17"/>
      <c r="X153" s="23">
        <v>2039</v>
      </c>
      <c r="Y153" s="111">
        <f>(('Future Type Share'!AF39*'Future EndUse Share'!C153)-(M153*'Future Type Share'!AD39))/('Future Type Share'!AB39+'Future Type Share'!Z39)</f>
        <v>6.6891161977364957E-3</v>
      </c>
      <c r="Z153" s="111">
        <f>((D153*'Future Type Share'!AF40)-('Future Type Share'!AD40*'Future EndUse Share'!N153))/('Future Type Share'!AF40-'Future Type Share'!AD40)</f>
        <v>0.33272727272727276</v>
      </c>
      <c r="AA153" s="111">
        <f>IF((((E152*'Future Type Share'!AF40)-('Future Type Share'!AD40*'Future EndUse Share'!O152))/('Future Type Share'!AF40-'Future Type Share'!AD40))&lt;10%,0,(((E152*'Future Type Share'!AF40)-('Future Type Share'!AD40*'Future EndUse Share'!O152))/('Future Type Share'!AF40-'Future Type Share'!AD40)))</f>
        <v>0</v>
      </c>
      <c r="AB153" s="111">
        <f>(F153-P153*'Future Type Share'!$AE40)/(1-'Future Type Share'!$AE40)</f>
        <v>-3.0909090909090851E-2</v>
      </c>
      <c r="AC153" s="111">
        <f>(G153-Q153*'Future Type Share'!$AE40)/(1-'Future Type Share'!$AE40)</f>
        <v>0.51454545454545464</v>
      </c>
      <c r="AD153" s="111">
        <f>(H153-R153*'Future Type Share'!$AE40)/(1-'Future Type Share'!$AE40)</f>
        <v>0.14727272727272772</v>
      </c>
      <c r="AE153" s="25">
        <f t="shared" si="38"/>
        <v>0.97032547983410078</v>
      </c>
      <c r="AF153" s="17"/>
      <c r="AG153" s="17"/>
      <c r="AH153" s="17"/>
      <c r="AJ153" s="152">
        <v>2039</v>
      </c>
      <c r="AK153" s="111">
        <v>0</v>
      </c>
      <c r="AL153" s="111">
        <v>0.35954256670902146</v>
      </c>
      <c r="AM153" s="111">
        <v>0</v>
      </c>
      <c r="AN153" s="111">
        <v>0</v>
      </c>
      <c r="AO153" s="111">
        <f t="shared" si="35"/>
        <v>0.64045743329097848</v>
      </c>
      <c r="AP153" s="111">
        <v>0</v>
      </c>
      <c r="AQ153" s="25">
        <f t="shared" si="36"/>
        <v>1</v>
      </c>
    </row>
    <row r="154" spans="2:43">
      <c r="B154" s="23">
        <v>2040</v>
      </c>
      <c r="C154" s="111">
        <v>0.25</v>
      </c>
      <c r="D154" s="17">
        <v>0.09</v>
      </c>
      <c r="E154" s="17">
        <v>0.11</v>
      </c>
      <c r="F154" s="17">
        <v>0.05</v>
      </c>
      <c r="G154" s="17">
        <v>0.11</v>
      </c>
      <c r="H154" s="17">
        <v>0.39</v>
      </c>
      <c r="I154" s="25">
        <v>1</v>
      </c>
      <c r="L154" s="23">
        <v>2040</v>
      </c>
      <c r="M154" s="111">
        <v>0.28000000000000003</v>
      </c>
      <c r="N154" s="111">
        <v>0.06</v>
      </c>
      <c r="O154" s="111">
        <v>0.12</v>
      </c>
      <c r="P154" s="111">
        <v>0.06</v>
      </c>
      <c r="Q154" s="17">
        <v>0.06</v>
      </c>
      <c r="R154" s="17">
        <v>0.42</v>
      </c>
      <c r="S154" s="25">
        <v>1</v>
      </c>
      <c r="T154" s="17"/>
      <c r="X154" s="23">
        <v>2040</v>
      </c>
      <c r="Y154" s="111">
        <f>(('Future Type Share'!AF40*'Future EndUse Share'!C154)-(M154*'Future Type Share'!AD40))/('Future Type Share'!AB40+'Future Type Share'!Z40)</f>
        <v>6.7306621179355737E-3</v>
      </c>
      <c r="Z154" s="111">
        <f>((D154*'Future Type Share'!AF41)-('Future Type Share'!AD41*'Future EndUse Share'!N154))/('Future Type Share'!AF41-'Future Type Share'!AD41)</f>
        <v>0.33272727272727265</v>
      </c>
      <c r="AA154" s="111">
        <f>IF((((E153*'Future Type Share'!AF41)-('Future Type Share'!AD41*'Future EndUse Share'!O153))/('Future Type Share'!AF41-'Future Type Share'!AD41))&lt;10%,0,(((E153*'Future Type Share'!AF41)-('Future Type Share'!AD41*'Future EndUse Share'!O153))/('Future Type Share'!AF41-'Future Type Share'!AD41)))</f>
        <v>0</v>
      </c>
      <c r="AB154" s="111">
        <f>(F154-P154*'Future Type Share'!$AE41)/(1-'Future Type Share'!$AE41)</f>
        <v>-3.0909090909090851E-2</v>
      </c>
      <c r="AC154" s="111">
        <f>(G154-Q154*'Future Type Share'!$AE41)/(1-'Future Type Share'!$AE41)</f>
        <v>0.51454545454545464</v>
      </c>
      <c r="AD154" s="111">
        <f>(H154-R154*'Future Type Share'!$AE41)/(1-'Future Type Share'!$AE41)</f>
        <v>0.14727272727272772</v>
      </c>
      <c r="AE154" s="25">
        <f t="shared" si="38"/>
        <v>0.97036702575429978</v>
      </c>
      <c r="AF154" s="17"/>
      <c r="AG154" s="17"/>
      <c r="AH154" s="17"/>
      <c r="AJ154" s="152">
        <v>2040</v>
      </c>
      <c r="AK154" s="111">
        <v>0</v>
      </c>
      <c r="AL154" s="111">
        <v>0.36079132099553296</v>
      </c>
      <c r="AM154" s="111">
        <v>0</v>
      </c>
      <c r="AN154" s="111">
        <v>0</v>
      </c>
      <c r="AO154" s="111">
        <f t="shared" si="35"/>
        <v>0.6392086790044671</v>
      </c>
      <c r="AP154" s="111">
        <v>0</v>
      </c>
      <c r="AQ154" s="25">
        <f t="shared" si="36"/>
        <v>1</v>
      </c>
    </row>
    <row r="155" spans="2:43">
      <c r="B155" s="23">
        <v>2041</v>
      </c>
      <c r="C155" s="111">
        <v>0.25</v>
      </c>
      <c r="D155" s="17">
        <v>0.09</v>
      </c>
      <c r="E155" s="17">
        <v>0.11</v>
      </c>
      <c r="F155" s="17">
        <v>0.05</v>
      </c>
      <c r="G155" s="17">
        <v>0.11</v>
      </c>
      <c r="H155" s="17">
        <v>0.39</v>
      </c>
      <c r="I155" s="25">
        <v>1</v>
      </c>
      <c r="L155" s="23">
        <v>2041</v>
      </c>
      <c r="M155" s="111">
        <v>0.28000000000000003</v>
      </c>
      <c r="N155" s="111">
        <v>0.06</v>
      </c>
      <c r="O155" s="111">
        <v>0.12</v>
      </c>
      <c r="P155" s="111">
        <v>0.06</v>
      </c>
      <c r="Q155" s="17">
        <v>0.06</v>
      </c>
      <c r="R155" s="17">
        <v>0.42</v>
      </c>
      <c r="S155" s="25">
        <v>1</v>
      </c>
      <c r="T155" s="17"/>
      <c r="X155" s="23">
        <v>2041</v>
      </c>
      <c r="Y155" s="111">
        <f>(('Future Type Share'!AF41*'Future EndUse Share'!C155)-(M155*'Future Type Share'!AD41))/('Future Type Share'!AB41+'Future Type Share'!Z41)</f>
        <v>6.7721609759312119E-3</v>
      </c>
      <c r="Z155" s="111">
        <f>((D155*'Future Type Share'!AF42)-('Future Type Share'!AD42*'Future EndUse Share'!N155))/('Future Type Share'!AF42-'Future Type Share'!AD42)</f>
        <v>0.33272727272727265</v>
      </c>
      <c r="AA155" s="111">
        <f>IF((((E154*'Future Type Share'!AF42)-('Future Type Share'!AD42*'Future EndUse Share'!O154))/('Future Type Share'!AF42-'Future Type Share'!AD42))&lt;10%,0,(((E154*'Future Type Share'!AF42)-('Future Type Share'!AD42*'Future EndUse Share'!O154))/('Future Type Share'!AF42-'Future Type Share'!AD42)))</f>
        <v>0</v>
      </c>
      <c r="AB155" s="111">
        <f>(F155-P155*'Future Type Share'!$AE42)/(1-'Future Type Share'!$AE42)</f>
        <v>-3.0909090909090851E-2</v>
      </c>
      <c r="AC155" s="111">
        <f>(G155-Q155*'Future Type Share'!$AE42)/(1-'Future Type Share'!$AE42)</f>
        <v>0.51454545454545464</v>
      </c>
      <c r="AD155" s="111">
        <f>(H155-R155*'Future Type Share'!$AE42)/(1-'Future Type Share'!$AE42)</f>
        <v>0.14727272727272772</v>
      </c>
      <c r="AE155" s="25">
        <f t="shared" si="38"/>
        <v>0.97040852461229532</v>
      </c>
      <c r="AF155" s="17"/>
      <c r="AG155" s="17"/>
      <c r="AH155" s="17"/>
      <c r="AJ155" s="152">
        <v>2041</v>
      </c>
      <c r="AK155" s="111">
        <v>0</v>
      </c>
      <c r="AL155" s="111">
        <v>0.36205128205128195</v>
      </c>
      <c r="AM155" s="111">
        <v>0</v>
      </c>
      <c r="AN155" s="111">
        <v>0</v>
      </c>
      <c r="AO155" s="111">
        <f t="shared" si="35"/>
        <v>0.63794871794871799</v>
      </c>
      <c r="AP155" s="111">
        <v>0</v>
      </c>
      <c r="AQ155" s="25">
        <f t="shared" si="36"/>
        <v>1</v>
      </c>
    </row>
    <row r="156" spans="2:43">
      <c r="B156" s="23">
        <v>2042</v>
      </c>
      <c r="C156" s="111">
        <v>0.25</v>
      </c>
      <c r="D156" s="17">
        <v>0.09</v>
      </c>
      <c r="E156" s="17">
        <v>0.11</v>
      </c>
      <c r="F156" s="17">
        <v>0.05</v>
      </c>
      <c r="G156" s="17">
        <v>0.11</v>
      </c>
      <c r="H156" s="17">
        <v>0.39</v>
      </c>
      <c r="I156" s="25">
        <v>1</v>
      </c>
      <c r="L156" s="23">
        <v>2042</v>
      </c>
      <c r="M156" s="111">
        <v>0.28000000000000003</v>
      </c>
      <c r="N156" s="111">
        <v>0.06</v>
      </c>
      <c r="O156" s="111">
        <v>0.12</v>
      </c>
      <c r="P156" s="111">
        <v>0.06</v>
      </c>
      <c r="Q156" s="17">
        <v>0.06</v>
      </c>
      <c r="R156" s="17">
        <v>0.42</v>
      </c>
      <c r="S156" s="25">
        <v>1</v>
      </c>
      <c r="T156" s="17"/>
      <c r="X156" s="23">
        <v>2042</v>
      </c>
      <c r="Y156" s="111">
        <f>(('Future Type Share'!AF42*'Future EndUse Share'!C156)-(M156*'Future Type Share'!AD42))/('Future Type Share'!AB42+'Future Type Share'!Z42)</f>
        <v>6.8136128516445155E-3</v>
      </c>
      <c r="Z156" s="111">
        <f>((D156*'Future Type Share'!AF43)-('Future Type Share'!AD43*'Future EndUse Share'!N156))/('Future Type Share'!AF43-'Future Type Share'!AD43)</f>
        <v>0.33272727272727287</v>
      </c>
      <c r="AA156" s="111">
        <f>IF((((E155*'Future Type Share'!AF43)-('Future Type Share'!AD43*'Future EndUse Share'!O155))/('Future Type Share'!AF43-'Future Type Share'!AD43))&lt;10%,0,(((E155*'Future Type Share'!AF43)-('Future Type Share'!AD43*'Future EndUse Share'!O155))/('Future Type Share'!AF43-'Future Type Share'!AD43)))</f>
        <v>0</v>
      </c>
      <c r="AB156" s="111">
        <f>(F156-P156*'Future Type Share'!$AE43)/(1-'Future Type Share'!$AE43)</f>
        <v>-3.0909090909090851E-2</v>
      </c>
      <c r="AC156" s="111">
        <f>(G156-Q156*'Future Type Share'!$AE43)/(1-'Future Type Share'!$AE43)</f>
        <v>0.51454545454545464</v>
      </c>
      <c r="AD156" s="111">
        <f>(H156-R156*'Future Type Share'!$AE43)/(1-'Future Type Share'!$AE43)</f>
        <v>0.14727272727272772</v>
      </c>
      <c r="AE156" s="25">
        <f t="shared" si="38"/>
        <v>0.97044997648800879</v>
      </c>
      <c r="AF156" s="17"/>
      <c r="AG156" s="17"/>
      <c r="AH156" s="17"/>
      <c r="AJ156" s="152">
        <v>2042</v>
      </c>
      <c r="AK156" s="111">
        <v>0</v>
      </c>
      <c r="AL156" s="111">
        <v>0.36332260141661316</v>
      </c>
      <c r="AM156" s="111">
        <v>0</v>
      </c>
      <c r="AN156" s="111">
        <v>0</v>
      </c>
      <c r="AO156" s="111">
        <f t="shared" si="35"/>
        <v>0.6366773985833869</v>
      </c>
      <c r="AP156" s="111">
        <v>0</v>
      </c>
      <c r="AQ156" s="25">
        <f t="shared" si="36"/>
        <v>1</v>
      </c>
    </row>
    <row r="157" spans="2:43">
      <c r="B157" s="23">
        <v>2043</v>
      </c>
      <c r="C157" s="111">
        <v>0.25</v>
      </c>
      <c r="D157" s="17">
        <v>0.09</v>
      </c>
      <c r="E157" s="17">
        <v>0.11</v>
      </c>
      <c r="F157" s="17">
        <v>0.05</v>
      </c>
      <c r="G157" s="17">
        <v>0.11</v>
      </c>
      <c r="H157" s="17">
        <v>0.39</v>
      </c>
      <c r="I157" s="25">
        <v>1</v>
      </c>
      <c r="L157" s="23">
        <v>2043</v>
      </c>
      <c r="M157" s="111">
        <v>0.28000000000000003</v>
      </c>
      <c r="N157" s="111">
        <v>0.06</v>
      </c>
      <c r="O157" s="111">
        <v>0.12</v>
      </c>
      <c r="P157" s="111">
        <v>0.06</v>
      </c>
      <c r="Q157" s="17">
        <v>0.06</v>
      </c>
      <c r="R157" s="17">
        <v>0.42</v>
      </c>
      <c r="S157" s="25">
        <v>1</v>
      </c>
      <c r="T157" s="17"/>
      <c r="X157" s="23">
        <v>2043</v>
      </c>
      <c r="Y157" s="111">
        <f>(('Future Type Share'!AF43*'Future EndUse Share'!C157)-(M157*'Future Type Share'!AD43))/('Future Type Share'!AB43+'Future Type Share'!Z43)</f>
        <v>6.8550178248157293E-3</v>
      </c>
      <c r="Z157" s="111">
        <f>((D157*'Future Type Share'!AF44)-('Future Type Share'!AD44*'Future EndUse Share'!N157))/('Future Type Share'!AF44-'Future Type Share'!AD44)</f>
        <v>0.33272727272727287</v>
      </c>
      <c r="AA157" s="111">
        <f>IF((((E156*'Future Type Share'!AF44)-('Future Type Share'!AD44*'Future EndUse Share'!O156))/('Future Type Share'!AF44-'Future Type Share'!AD44))&lt;10%,0,(((E156*'Future Type Share'!AF44)-('Future Type Share'!AD44*'Future EndUse Share'!O156))/('Future Type Share'!AF44-'Future Type Share'!AD44)))</f>
        <v>0</v>
      </c>
      <c r="AB157" s="111">
        <f>(F157-P157*'Future Type Share'!$AE44)/(1-'Future Type Share'!$AE44)</f>
        <v>-3.0909090909090851E-2</v>
      </c>
      <c r="AC157" s="111">
        <f>(G157-Q157*'Future Type Share'!$AE44)/(1-'Future Type Share'!$AE44)</f>
        <v>0.51454545454545464</v>
      </c>
      <c r="AD157" s="111">
        <f>(H157-R157*'Future Type Share'!$AE44)/(1-'Future Type Share'!$AE44)</f>
        <v>0.14727272727272772</v>
      </c>
      <c r="AE157" s="25">
        <f t="shared" si="38"/>
        <v>0.97049138146118019</v>
      </c>
      <c r="AF157" s="17"/>
      <c r="AG157" s="17"/>
      <c r="AH157" s="17"/>
      <c r="AJ157" s="152">
        <v>2043</v>
      </c>
      <c r="AK157" s="111">
        <v>0</v>
      </c>
      <c r="AL157" s="111">
        <v>0.36460543337645535</v>
      </c>
      <c r="AM157" s="111">
        <v>0</v>
      </c>
      <c r="AN157" s="111">
        <v>0</v>
      </c>
      <c r="AO157" s="111">
        <f t="shared" si="35"/>
        <v>0.63539456662354465</v>
      </c>
      <c r="AP157" s="111">
        <v>0</v>
      </c>
      <c r="AQ157" s="25">
        <f t="shared" si="36"/>
        <v>1</v>
      </c>
    </row>
    <row r="158" spans="2:43">
      <c r="B158" s="23">
        <v>2044</v>
      </c>
      <c r="C158" s="111">
        <v>0.25</v>
      </c>
      <c r="D158" s="17">
        <v>0.09</v>
      </c>
      <c r="E158" s="17">
        <v>0.11</v>
      </c>
      <c r="F158" s="17">
        <v>0.05</v>
      </c>
      <c r="G158" s="17">
        <v>0.11</v>
      </c>
      <c r="H158" s="17">
        <v>0.39</v>
      </c>
      <c r="I158" s="25">
        <v>1</v>
      </c>
      <c r="L158" s="23">
        <v>2044</v>
      </c>
      <c r="M158" s="111">
        <v>0.28000000000000003</v>
      </c>
      <c r="N158" s="111">
        <v>0.06</v>
      </c>
      <c r="O158" s="111">
        <v>0.12</v>
      </c>
      <c r="P158" s="111">
        <v>0.06</v>
      </c>
      <c r="Q158" s="17">
        <v>0.06</v>
      </c>
      <c r="R158" s="17">
        <v>0.42</v>
      </c>
      <c r="S158" s="25">
        <v>1</v>
      </c>
      <c r="T158" s="17"/>
      <c r="X158" s="23">
        <v>2044</v>
      </c>
      <c r="Y158" s="111">
        <f>(('Future Type Share'!AF44*'Future EndUse Share'!C158)-(M158*'Future Type Share'!AD44))/('Future Type Share'!AB44+'Future Type Share'!Z44)</f>
        <v>6.8963759750047503E-3</v>
      </c>
      <c r="Z158" s="111">
        <f>((D158*'Future Type Share'!AF45)-('Future Type Share'!AD45*'Future EndUse Share'!N158))/('Future Type Share'!AF45-'Future Type Share'!AD45)</f>
        <v>0.3327272727272727</v>
      </c>
      <c r="AA158" s="111">
        <f>IF((((E157*'Future Type Share'!AF45)-('Future Type Share'!AD45*'Future EndUse Share'!O157))/('Future Type Share'!AF45-'Future Type Share'!AD45))&lt;10%,0,(((E157*'Future Type Share'!AF45)-('Future Type Share'!AD45*'Future EndUse Share'!O157))/('Future Type Share'!AF45-'Future Type Share'!AD45)))</f>
        <v>0</v>
      </c>
      <c r="AB158" s="111">
        <f>(F158-P158*'Future Type Share'!$AE45)/(1-'Future Type Share'!$AE45)</f>
        <v>-3.0909090909090851E-2</v>
      </c>
      <c r="AC158" s="111">
        <f>(G158-Q158*'Future Type Share'!$AE45)/(1-'Future Type Share'!$AE45)</f>
        <v>0.51454545454545464</v>
      </c>
      <c r="AD158" s="111">
        <f>(H158-R158*'Future Type Share'!$AE45)/(1-'Future Type Share'!$AE45)</f>
        <v>0.14727272727272772</v>
      </c>
      <c r="AE158" s="25">
        <f t="shared" si="38"/>
        <v>0.97053273961136899</v>
      </c>
      <c r="AF158" s="17"/>
      <c r="AG158" s="17"/>
      <c r="AH158" s="17"/>
      <c r="AJ158" s="152">
        <v>2044</v>
      </c>
      <c r="AK158" s="111">
        <v>0</v>
      </c>
      <c r="AL158" s="111">
        <v>0.36589993502274187</v>
      </c>
      <c r="AM158" s="111">
        <v>0</v>
      </c>
      <c r="AN158" s="111">
        <v>0</v>
      </c>
      <c r="AO158" s="111">
        <f t="shared" si="35"/>
        <v>0.63410006497725813</v>
      </c>
      <c r="AP158" s="111">
        <v>0</v>
      </c>
      <c r="AQ158" s="25">
        <f t="shared" si="36"/>
        <v>1</v>
      </c>
    </row>
    <row r="159" spans="2:43">
      <c r="B159" s="23">
        <v>2045</v>
      </c>
      <c r="C159" s="111">
        <v>0.25</v>
      </c>
      <c r="D159" s="17">
        <v>0.09</v>
      </c>
      <c r="E159" s="17">
        <v>0.11</v>
      </c>
      <c r="F159" s="17">
        <v>0.05</v>
      </c>
      <c r="G159" s="17">
        <v>0.11</v>
      </c>
      <c r="H159" s="17">
        <v>0.39</v>
      </c>
      <c r="I159" s="25">
        <v>1</v>
      </c>
      <c r="L159" s="23">
        <v>2045</v>
      </c>
      <c r="M159" s="111">
        <v>0.28000000000000003</v>
      </c>
      <c r="N159" s="111">
        <v>0.06</v>
      </c>
      <c r="O159" s="111">
        <v>0.12</v>
      </c>
      <c r="P159" s="111">
        <v>0.06</v>
      </c>
      <c r="Q159" s="17">
        <v>0.06</v>
      </c>
      <c r="R159" s="17">
        <v>0.42</v>
      </c>
      <c r="S159" s="25">
        <v>1</v>
      </c>
      <c r="T159" s="17"/>
      <c r="X159" s="23">
        <v>2045</v>
      </c>
      <c r="Y159" s="111">
        <f>(('Future Type Share'!AF45*'Future EndUse Share'!C159)-(M159*'Future Type Share'!AD45))/('Future Type Share'!AB45+'Future Type Share'!Z45)</f>
        <v>6.9376873815916321E-3</v>
      </c>
      <c r="Z159" s="111">
        <f>((D159*'Future Type Share'!AF46)-('Future Type Share'!AD46*'Future EndUse Share'!N159))/('Future Type Share'!AF46-'Future Type Share'!AD46)</f>
        <v>0.3327272727272727</v>
      </c>
      <c r="AA159" s="111">
        <f>IF((((E158*'Future Type Share'!AF46)-('Future Type Share'!AD46*'Future EndUse Share'!O158))/('Future Type Share'!AF46-'Future Type Share'!AD46))&lt;10%,0,(((E158*'Future Type Share'!AF46)-('Future Type Share'!AD46*'Future EndUse Share'!O158))/('Future Type Share'!AF46-'Future Type Share'!AD46)))</f>
        <v>0</v>
      </c>
      <c r="AB159" s="111">
        <f>(F159-P159*'Future Type Share'!$AE46)/(1-'Future Type Share'!$AE46)</f>
        <v>-3.0909090909090851E-2</v>
      </c>
      <c r="AC159" s="111">
        <f>(G159-Q159*'Future Type Share'!$AE46)/(1-'Future Type Share'!$AE46)</f>
        <v>0.51454545454545464</v>
      </c>
      <c r="AD159" s="111">
        <f>(H159-R159*'Future Type Share'!$AE46)/(1-'Future Type Share'!$AE46)</f>
        <v>0.14727272727272772</v>
      </c>
      <c r="AE159" s="25">
        <f t="shared" si="38"/>
        <v>0.97057405101795591</v>
      </c>
      <c r="AF159" s="17"/>
      <c r="AG159" s="17"/>
      <c r="AH159" s="17"/>
      <c r="AJ159" s="152">
        <v>2045</v>
      </c>
      <c r="AK159" s="111">
        <v>0</v>
      </c>
      <c r="AL159" s="111">
        <v>0.36720626631853798</v>
      </c>
      <c r="AM159" s="111">
        <v>0</v>
      </c>
      <c r="AN159" s="111">
        <v>0</v>
      </c>
      <c r="AO159" s="111">
        <f t="shared" si="35"/>
        <v>0.63279373368146197</v>
      </c>
      <c r="AP159" s="111">
        <v>0</v>
      </c>
      <c r="AQ159" s="25">
        <f t="shared" si="36"/>
        <v>1</v>
      </c>
    </row>
    <row r="160" spans="2:43">
      <c r="B160" s="23">
        <v>2046</v>
      </c>
      <c r="C160" s="111">
        <v>0.25</v>
      </c>
      <c r="D160" s="17">
        <v>0.09</v>
      </c>
      <c r="E160" s="17">
        <v>0.11</v>
      </c>
      <c r="F160" s="17">
        <v>0.05</v>
      </c>
      <c r="G160" s="17">
        <v>0.11</v>
      </c>
      <c r="H160" s="17">
        <v>0.39</v>
      </c>
      <c r="I160" s="25">
        <v>1</v>
      </c>
      <c r="L160" s="23">
        <v>2046</v>
      </c>
      <c r="M160" s="111">
        <v>0.28000000000000003</v>
      </c>
      <c r="N160" s="111">
        <v>0.06</v>
      </c>
      <c r="O160" s="111">
        <v>0.12</v>
      </c>
      <c r="P160" s="111">
        <v>0.06</v>
      </c>
      <c r="Q160" s="17">
        <v>0.06</v>
      </c>
      <c r="R160" s="17">
        <v>0.42</v>
      </c>
      <c r="S160" s="25">
        <v>1</v>
      </c>
      <c r="T160" s="17"/>
      <c r="X160" s="23">
        <v>2046</v>
      </c>
      <c r="Y160" s="111">
        <f>(('Future Type Share'!AF46*'Future EndUse Share'!C160)-(M160*'Future Type Share'!AD46))/('Future Type Share'!AB46+'Future Type Share'!Z46)</f>
        <v>6.9789521237770998E-3</v>
      </c>
      <c r="Z160" s="111">
        <f>((D160*'Future Type Share'!AF47)-('Future Type Share'!AD47*'Future EndUse Share'!N160))/('Future Type Share'!AF47-'Future Type Share'!AD47)</f>
        <v>0.3327272727272727</v>
      </c>
      <c r="AA160" s="111">
        <f>IF((((E159*'Future Type Share'!AF47)-('Future Type Share'!AD47*'Future EndUse Share'!O159))/('Future Type Share'!AF47-'Future Type Share'!AD47))&lt;10%,0,(((E159*'Future Type Share'!AF47)-('Future Type Share'!AD47*'Future EndUse Share'!O159))/('Future Type Share'!AF47-'Future Type Share'!AD47)))</f>
        <v>0</v>
      </c>
      <c r="AB160" s="111">
        <f>(F160-P160*'Future Type Share'!$AE47)/(1-'Future Type Share'!$AE47)</f>
        <v>-3.0909090909090851E-2</v>
      </c>
      <c r="AC160" s="111">
        <f>(G160-Q160*'Future Type Share'!$AE47)/(1-'Future Type Share'!$AE47)</f>
        <v>0.51454545454545464</v>
      </c>
      <c r="AD160" s="111">
        <f>(H160-R160*'Future Type Share'!$AE47)/(1-'Future Type Share'!$AE47)</f>
        <v>0.14727272727272772</v>
      </c>
      <c r="AE160" s="25">
        <f t="shared" si="38"/>
        <v>0.97061531576014137</v>
      </c>
      <c r="AF160" s="17"/>
      <c r="AG160" s="17"/>
      <c r="AH160" s="17"/>
      <c r="AJ160" s="152">
        <v>2046</v>
      </c>
      <c r="AK160" s="111">
        <v>0</v>
      </c>
      <c r="AL160" s="111">
        <v>0.36852459016393435</v>
      </c>
      <c r="AM160" s="111">
        <v>0</v>
      </c>
      <c r="AN160" s="111">
        <v>0</v>
      </c>
      <c r="AO160" s="111">
        <f t="shared" si="35"/>
        <v>0.63147540983606565</v>
      </c>
      <c r="AP160" s="111">
        <v>0</v>
      </c>
      <c r="AQ160" s="25">
        <f t="shared" si="36"/>
        <v>1</v>
      </c>
    </row>
    <row r="161" spans="2:43">
      <c r="B161" s="23">
        <v>2047</v>
      </c>
      <c r="C161" s="111">
        <v>0.25</v>
      </c>
      <c r="D161" s="17">
        <v>0.09</v>
      </c>
      <c r="E161" s="17">
        <v>0.11</v>
      </c>
      <c r="F161" s="17">
        <v>0.05</v>
      </c>
      <c r="G161" s="17">
        <v>0.11</v>
      </c>
      <c r="H161" s="17">
        <v>0.39</v>
      </c>
      <c r="I161" s="25">
        <v>1</v>
      </c>
      <c r="L161" s="23">
        <v>2047</v>
      </c>
      <c r="M161" s="111">
        <v>0.28000000000000003</v>
      </c>
      <c r="N161" s="111">
        <v>0.06</v>
      </c>
      <c r="O161" s="111">
        <v>0.12</v>
      </c>
      <c r="P161" s="111">
        <v>0.06</v>
      </c>
      <c r="Q161" s="17">
        <v>0.06</v>
      </c>
      <c r="R161" s="17">
        <v>0.42</v>
      </c>
      <c r="S161" s="25">
        <v>1</v>
      </c>
      <c r="T161" s="17"/>
      <c r="X161" s="23">
        <v>2047</v>
      </c>
      <c r="Y161" s="111">
        <f>(('Future Type Share'!AF47*'Future EndUse Share'!C161)-(M161*'Future Type Share'!AD47))/('Future Type Share'!AB47+'Future Type Share'!Z47)</f>
        <v>7.0201702805830525E-3</v>
      </c>
      <c r="Z161" s="111">
        <f>((D161*'Future Type Share'!AF48)-('Future Type Share'!AD48*'Future EndUse Share'!N161))/('Future Type Share'!AF48-'Future Type Share'!AD48)</f>
        <v>0.33272727272727287</v>
      </c>
      <c r="AA161" s="111">
        <f>IF((((E160*'Future Type Share'!AF48)-('Future Type Share'!AD48*'Future EndUse Share'!O160))/('Future Type Share'!AF48-'Future Type Share'!AD48))&lt;10%,0,(((E160*'Future Type Share'!AF48)-('Future Type Share'!AD48*'Future EndUse Share'!O160))/('Future Type Share'!AF48-'Future Type Share'!AD48)))</f>
        <v>0</v>
      </c>
      <c r="AB161" s="111">
        <f>(F161-P161*'Future Type Share'!$AE48)/(1-'Future Type Share'!$AE48)</f>
        <v>-3.0909090909090851E-2</v>
      </c>
      <c r="AC161" s="111">
        <f>(G161-Q161*'Future Type Share'!$AE48)/(1-'Future Type Share'!$AE48)</f>
        <v>0.51454545454545464</v>
      </c>
      <c r="AD161" s="111">
        <f>(H161-R161*'Future Type Share'!$AE48)/(1-'Future Type Share'!$AE48)</f>
        <v>0.14727272727272772</v>
      </c>
      <c r="AE161" s="25">
        <f t="shared" si="38"/>
        <v>0.97065653391694751</v>
      </c>
      <c r="AF161" s="17"/>
      <c r="AG161" s="17"/>
      <c r="AH161" s="17"/>
      <c r="AJ161" s="152">
        <v>2047</v>
      </c>
      <c r="AK161" s="111">
        <v>0</v>
      </c>
      <c r="AL161" s="111">
        <v>0.36985507246376831</v>
      </c>
      <c r="AM161" s="111">
        <v>0</v>
      </c>
      <c r="AN161" s="111">
        <v>0</v>
      </c>
      <c r="AO161" s="111">
        <f t="shared" si="35"/>
        <v>0.63014492753623164</v>
      </c>
      <c r="AP161" s="111">
        <v>0</v>
      </c>
      <c r="AQ161" s="25">
        <f t="shared" si="36"/>
        <v>1</v>
      </c>
    </row>
    <row r="162" spans="2:43">
      <c r="B162" s="23">
        <v>2048</v>
      </c>
      <c r="C162" s="111">
        <v>0.25</v>
      </c>
      <c r="D162" s="17">
        <v>0.09</v>
      </c>
      <c r="E162" s="17">
        <v>0.11</v>
      </c>
      <c r="F162" s="17">
        <v>0.05</v>
      </c>
      <c r="G162" s="17">
        <v>0.11</v>
      </c>
      <c r="H162" s="17">
        <v>0.39</v>
      </c>
      <c r="I162" s="25">
        <v>1</v>
      </c>
      <c r="L162" s="23">
        <v>2048</v>
      </c>
      <c r="M162" s="111">
        <v>0.28000000000000003</v>
      </c>
      <c r="N162" s="111">
        <v>0.06</v>
      </c>
      <c r="O162" s="111">
        <v>0.12</v>
      </c>
      <c r="P162" s="111">
        <v>0.06</v>
      </c>
      <c r="Q162" s="17">
        <v>0.06</v>
      </c>
      <c r="R162" s="17">
        <v>0.42</v>
      </c>
      <c r="S162" s="25">
        <v>1</v>
      </c>
      <c r="T162" s="17"/>
      <c r="X162" s="23">
        <v>2048</v>
      </c>
      <c r="Y162" s="111">
        <f>(('Future Type Share'!AF48*'Future EndUse Share'!C162)-(M162*'Future Type Share'!AD48))/('Future Type Share'!AB48+'Future Type Share'!Z48)</f>
        <v>7.0613419308530679E-3</v>
      </c>
      <c r="Z162" s="111">
        <f>((D162*'Future Type Share'!AF49)-('Future Type Share'!AD49*'Future EndUse Share'!N162))/('Future Type Share'!AF49-'Future Type Share'!AD49)</f>
        <v>0.33272727272727259</v>
      </c>
      <c r="AA162" s="111">
        <f>IF((((E161*'Future Type Share'!AF49)-('Future Type Share'!AD49*'Future EndUse Share'!O161))/('Future Type Share'!AF49-'Future Type Share'!AD49))&lt;10%,0,(((E161*'Future Type Share'!AF49)-('Future Type Share'!AD49*'Future EndUse Share'!O161))/('Future Type Share'!AF49-'Future Type Share'!AD49)))</f>
        <v>0</v>
      </c>
      <c r="AB162" s="111">
        <f>(F162-P162*'Future Type Share'!$AE49)/(1-'Future Type Share'!$AE49)</f>
        <v>-3.0909090909090851E-2</v>
      </c>
      <c r="AC162" s="111">
        <f>(G162-Q162*'Future Type Share'!$AE49)/(1-'Future Type Share'!$AE49)</f>
        <v>0.51454545454545464</v>
      </c>
      <c r="AD162" s="111">
        <f>(H162-R162*'Future Type Share'!$AE49)/(1-'Future Type Share'!$AE49)</f>
        <v>0.14727272727272772</v>
      </c>
      <c r="AE162" s="25">
        <f t="shared" si="38"/>
        <v>0.97069770556721724</v>
      </c>
      <c r="AF162" s="17"/>
      <c r="AG162" s="17"/>
      <c r="AH162" s="17"/>
      <c r="AJ162" s="152">
        <v>2048</v>
      </c>
      <c r="AK162" s="111">
        <v>0</v>
      </c>
      <c r="AL162" s="111">
        <v>0.37119788219722033</v>
      </c>
      <c r="AM162" s="111">
        <v>0</v>
      </c>
      <c r="AN162" s="111">
        <v>0</v>
      </c>
      <c r="AO162" s="111">
        <f t="shared" si="35"/>
        <v>0.62880211780277961</v>
      </c>
      <c r="AP162" s="111">
        <v>0</v>
      </c>
      <c r="AQ162" s="25">
        <f t="shared" si="36"/>
        <v>1</v>
      </c>
    </row>
    <row r="163" spans="2:43">
      <c r="B163" s="23">
        <v>2049</v>
      </c>
      <c r="C163" s="111">
        <v>0.25</v>
      </c>
      <c r="D163" s="17">
        <v>0.09</v>
      </c>
      <c r="E163" s="17">
        <v>0.11</v>
      </c>
      <c r="F163" s="17">
        <v>0.05</v>
      </c>
      <c r="G163" s="17">
        <v>0.11</v>
      </c>
      <c r="H163" s="17">
        <v>0.39</v>
      </c>
      <c r="I163" s="25">
        <v>1</v>
      </c>
      <c r="L163" s="23">
        <v>2049</v>
      </c>
      <c r="M163" s="111">
        <v>0.28000000000000003</v>
      </c>
      <c r="N163" s="111">
        <v>0.06</v>
      </c>
      <c r="O163" s="111">
        <v>0.12</v>
      </c>
      <c r="P163" s="111">
        <v>0.06</v>
      </c>
      <c r="Q163" s="17">
        <v>0.06</v>
      </c>
      <c r="R163" s="17">
        <v>0.42</v>
      </c>
      <c r="S163" s="25">
        <v>1</v>
      </c>
      <c r="T163" s="17"/>
      <c r="X163" s="23">
        <v>2049</v>
      </c>
      <c r="Y163" s="111">
        <f>(('Future Type Share'!AF49*'Future EndUse Share'!C163)-(M163*'Future Type Share'!AD49))/('Future Type Share'!AB49+'Future Type Share'!Z49)</f>
        <v>7.1024671532529038E-3</v>
      </c>
      <c r="Z163" s="111">
        <f>((D163*'Future Type Share'!AF50)-('Future Type Share'!AD50*'Future EndUse Share'!N163))/('Future Type Share'!AF50-'Future Type Share'!AD50)</f>
        <v>0.33272727272727287</v>
      </c>
      <c r="AA163" s="111">
        <f>IF((((E162*'Future Type Share'!AF50)-('Future Type Share'!AD50*'Future EndUse Share'!O162))/('Future Type Share'!AF50-'Future Type Share'!AD50))&lt;10%,0,(((E162*'Future Type Share'!AF50)-('Future Type Share'!AD50*'Future EndUse Share'!O162))/('Future Type Share'!AF50-'Future Type Share'!AD50)))</f>
        <v>0</v>
      </c>
      <c r="AB163" s="111">
        <f>(F163-P163*'Future Type Share'!$AE50)/(1-'Future Type Share'!$AE50)</f>
        <v>-3.0909090909090851E-2</v>
      </c>
      <c r="AC163" s="111">
        <f>(G163-Q163*'Future Type Share'!$AE50)/(1-'Future Type Share'!$AE50)</f>
        <v>0.51454545454545464</v>
      </c>
      <c r="AD163" s="111">
        <f>(H163-R163*'Future Type Share'!$AE50)/(1-'Future Type Share'!$AE50)</f>
        <v>0.14727272727272772</v>
      </c>
      <c r="AE163" s="25">
        <f t="shared" si="38"/>
        <v>0.9707388307896172</v>
      </c>
      <c r="AF163" s="17"/>
      <c r="AG163" s="17"/>
      <c r="AH163" s="17"/>
      <c r="AJ163" s="152">
        <v>2049</v>
      </c>
      <c r="AK163" s="111">
        <v>0</v>
      </c>
      <c r="AL163" s="111">
        <v>0.37255319148936145</v>
      </c>
      <c r="AM163" s="111">
        <v>0</v>
      </c>
      <c r="AN163" s="111">
        <v>0</v>
      </c>
      <c r="AO163" s="111">
        <f t="shared" si="35"/>
        <v>0.62744680851063861</v>
      </c>
      <c r="AP163" s="111">
        <v>0</v>
      </c>
      <c r="AQ163" s="25">
        <f t="shared" si="36"/>
        <v>1</v>
      </c>
    </row>
    <row r="164" spans="2:43">
      <c r="B164" s="26">
        <v>2050</v>
      </c>
      <c r="C164" s="111">
        <v>0.25</v>
      </c>
      <c r="D164" s="17">
        <v>0.09</v>
      </c>
      <c r="E164" s="17">
        <v>0.11</v>
      </c>
      <c r="F164" s="17">
        <v>0.05</v>
      </c>
      <c r="G164" s="17">
        <v>0.11</v>
      </c>
      <c r="H164" s="17">
        <v>0.39</v>
      </c>
      <c r="I164" s="25">
        <v>1</v>
      </c>
      <c r="L164" s="26">
        <v>2050</v>
      </c>
      <c r="M164" s="111">
        <v>0.28000000000000003</v>
      </c>
      <c r="N164" s="111">
        <v>0.06</v>
      </c>
      <c r="O164" s="111">
        <v>0.12</v>
      </c>
      <c r="P164" s="111">
        <v>0.06</v>
      </c>
      <c r="Q164" s="17">
        <v>0.06</v>
      </c>
      <c r="R164" s="17">
        <v>0.42</v>
      </c>
      <c r="S164" s="25">
        <v>1</v>
      </c>
      <c r="T164" s="17"/>
      <c r="X164" s="26">
        <v>2050</v>
      </c>
      <c r="Y164" s="111">
        <f>(('Future Type Share'!AF50*'Future EndUse Share'!C164)-(M164*'Future Type Share'!AD50))/('Future Type Share'!AB50+'Future Type Share'!Z50)</f>
        <v>7.1435460262710034E-3</v>
      </c>
      <c r="Z164" s="111">
        <f>((D164*'Future Type Share'!AF51)-('Future Type Share'!AD51*'Future EndUse Share'!N164))/('Future Type Share'!AF51-'Future Type Share'!AD51)</f>
        <v>0.33272727272727265</v>
      </c>
      <c r="AA164" s="111">
        <f>IF((((E163*'Future Type Share'!AF51)-('Future Type Share'!AD51*'Future EndUse Share'!O163))/('Future Type Share'!AF51-'Future Type Share'!AD51))&lt;10%,0,(((E163*'Future Type Share'!AF51)-('Future Type Share'!AD51*'Future EndUse Share'!O163))/('Future Type Share'!AF51-'Future Type Share'!AD51)))</f>
        <v>0</v>
      </c>
      <c r="AB164" s="112">
        <f>(F164-P164*'Future Type Share'!$AE51)/(1-'Future Type Share'!$AE51)</f>
        <v>-3.0909090909090851E-2</v>
      </c>
      <c r="AC164" s="111">
        <f>(G164-Q164*'Future Type Share'!$AE51)/(1-'Future Type Share'!$AE51)</f>
        <v>0.51454545454545464</v>
      </c>
      <c r="AD164" s="112">
        <f>(H164-R164*'Future Type Share'!$AE51)/(1-'Future Type Share'!$AE51)</f>
        <v>0.14727272727272772</v>
      </c>
      <c r="AE164" s="29">
        <f t="shared" si="38"/>
        <v>0.97077990966263505</v>
      </c>
      <c r="AF164" s="17"/>
      <c r="AG164" s="17"/>
      <c r="AH164" s="17"/>
      <c r="AJ164" s="153">
        <v>2050</v>
      </c>
      <c r="AK164" s="112">
        <v>0</v>
      </c>
      <c r="AL164" s="112">
        <v>0.37392117568470279</v>
      </c>
      <c r="AM164" s="112">
        <v>0</v>
      </c>
      <c r="AN164" s="112">
        <v>0</v>
      </c>
      <c r="AO164" s="112">
        <f t="shared" si="35"/>
        <v>0.62607882431529727</v>
      </c>
      <c r="AP164" s="112">
        <v>0</v>
      </c>
      <c r="AQ164" s="29">
        <f t="shared" si="36"/>
        <v>1</v>
      </c>
    </row>
    <row r="167" spans="2:43">
      <c r="C167" s="516" t="s">
        <v>933</v>
      </c>
      <c r="Z167" s="17" t="s">
        <v>934</v>
      </c>
    </row>
  </sheetData>
  <mergeCells count="2">
    <mergeCell ref="Y121:AE125"/>
    <mergeCell ref="AK121:AQ125"/>
  </mergeCells>
  <phoneticPr fontId="3" type="noConversion"/>
  <pageMargins left="0.7" right="0.7" top="0.75" bottom="0.75" header="0.3" footer="0.3"/>
  <pageSetup paperSize="9" orientation="portrait" r:id="rId1"/>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U56"/>
  <sheetViews>
    <sheetView topLeftCell="J6" zoomScaleNormal="55" workbookViewId="0">
      <selection activeCell="P17" sqref="P17"/>
    </sheetView>
  </sheetViews>
  <sheetFormatPr defaultColWidth="8.7265625" defaultRowHeight="14.5"/>
  <cols>
    <col min="1" max="1" width="14.453125" customWidth="1"/>
    <col min="2" max="2" width="11.1796875" bestFit="1" customWidth="1"/>
    <col min="3" max="3" width="9.453125" customWidth="1"/>
    <col min="4" max="4" width="9.7265625" bestFit="1" customWidth="1"/>
    <col min="7" max="7" width="10.81640625" bestFit="1" customWidth="1"/>
    <col min="9" max="10" width="6.7265625" customWidth="1"/>
  </cols>
  <sheetData>
    <row r="1" spans="1:47" ht="21">
      <c r="A1" s="106" t="s">
        <v>935</v>
      </c>
      <c r="I1" s="62"/>
      <c r="S1" s="62"/>
      <c r="AC1" s="62"/>
      <c r="AM1" s="62"/>
    </row>
    <row r="2" spans="1:47">
      <c r="I2" s="62"/>
      <c r="S2" s="62"/>
      <c r="AC2" s="62"/>
      <c r="AM2" s="62"/>
    </row>
    <row r="3" spans="1:47">
      <c r="A3" t="s">
        <v>936</v>
      </c>
      <c r="I3" s="62"/>
      <c r="K3" t="s">
        <v>936</v>
      </c>
      <c r="S3" s="62"/>
      <c r="U3" t="s">
        <v>936</v>
      </c>
      <c r="AC3" s="62"/>
      <c r="AE3" t="s">
        <v>936</v>
      </c>
      <c r="AM3" s="62"/>
      <c r="AO3" t="s">
        <v>936</v>
      </c>
    </row>
    <row r="4" spans="1:47">
      <c r="A4">
        <f>A9</f>
        <v>2006</v>
      </c>
      <c r="B4" s="56">
        <f>B9</f>
        <v>15863.890000000001</v>
      </c>
      <c r="C4" s="56">
        <f>C9</f>
        <v>0</v>
      </c>
      <c r="D4" s="56">
        <f>D9</f>
        <v>0</v>
      </c>
      <c r="E4" s="56">
        <f>E9</f>
        <v>0</v>
      </c>
      <c r="I4" s="62"/>
      <c r="K4">
        <f>K9</f>
        <v>2006</v>
      </c>
      <c r="L4" s="56">
        <f>L9</f>
        <v>30794.61</v>
      </c>
      <c r="M4" s="56">
        <f>M9</f>
        <v>0</v>
      </c>
      <c r="N4" s="56">
        <f>N9</f>
        <v>0</v>
      </c>
      <c r="O4" s="56">
        <f>O9</f>
        <v>0</v>
      </c>
      <c r="S4" s="62"/>
      <c r="U4">
        <f>U9</f>
        <v>2006</v>
      </c>
      <c r="V4" s="56">
        <f>V9</f>
        <v>0</v>
      </c>
      <c r="W4" s="56">
        <f>W9</f>
        <v>0</v>
      </c>
      <c r="X4" s="56">
        <f>X9</f>
        <v>0</v>
      </c>
      <c r="Y4" s="56">
        <f>Y9</f>
        <v>0</v>
      </c>
      <c r="AC4" s="62"/>
      <c r="AE4">
        <f>AE9</f>
        <v>2006</v>
      </c>
      <c r="AF4" s="56">
        <f>AF9</f>
        <v>15863.89</v>
      </c>
      <c r="AG4" s="56">
        <f>AG9</f>
        <v>2467.3593062961168</v>
      </c>
      <c r="AH4" s="56">
        <f>AH9</f>
        <v>13627.461387407766</v>
      </c>
      <c r="AI4" s="56">
        <f>AI9</f>
        <v>2467.3593062961168</v>
      </c>
      <c r="AM4" s="62"/>
      <c r="AO4">
        <f>AO9</f>
        <v>2006</v>
      </c>
      <c r="AP4" s="56">
        <f>AP9</f>
        <v>30794.61</v>
      </c>
      <c r="AQ4" s="56">
        <f>AQ9</f>
        <v>0</v>
      </c>
      <c r="AR4" s="56">
        <f>AR9</f>
        <v>0</v>
      </c>
      <c r="AS4" s="56">
        <f>AS9</f>
        <v>0</v>
      </c>
    </row>
    <row r="5" spans="1:47">
      <c r="A5">
        <f>A15</f>
        <v>2012</v>
      </c>
      <c r="B5" s="56">
        <f>B15</f>
        <v>15352.949999999999</v>
      </c>
      <c r="C5" s="56">
        <f>C15</f>
        <v>0</v>
      </c>
      <c r="D5" s="56">
        <f>D15</f>
        <v>0</v>
      </c>
      <c r="E5" s="56">
        <f>E15</f>
        <v>0</v>
      </c>
      <c r="I5" s="62"/>
      <c r="K5">
        <f>K15</f>
        <v>2012</v>
      </c>
      <c r="L5" s="56">
        <f>L15</f>
        <v>30705.899999999998</v>
      </c>
      <c r="M5" s="56">
        <f>M15</f>
        <v>0</v>
      </c>
      <c r="N5" s="56">
        <f>N15</f>
        <v>0</v>
      </c>
      <c r="O5" s="56">
        <f>O15</f>
        <v>0</v>
      </c>
      <c r="S5" s="62"/>
      <c r="U5">
        <f>U15</f>
        <v>2012</v>
      </c>
      <c r="V5" s="56">
        <f>V15</f>
        <v>0</v>
      </c>
      <c r="W5" s="56">
        <f>W15</f>
        <v>0</v>
      </c>
      <c r="X5" s="56">
        <f>X15</f>
        <v>0</v>
      </c>
      <c r="Y5" s="56">
        <f>Y15</f>
        <v>0</v>
      </c>
      <c r="AC5" s="62"/>
      <c r="AE5">
        <f>AE15</f>
        <v>2012</v>
      </c>
      <c r="AF5" s="56">
        <f>AF15</f>
        <v>22517.660000000003</v>
      </c>
      <c r="AG5" s="56">
        <f>AG15</f>
        <v>848</v>
      </c>
      <c r="AH5" s="56">
        <f>AH15</f>
        <v>14280</v>
      </c>
      <c r="AI5" s="56">
        <f>AI15</f>
        <v>848</v>
      </c>
      <c r="AM5" s="62"/>
      <c r="AO5">
        <f>AO15</f>
        <v>2012</v>
      </c>
      <c r="AP5" s="56">
        <f>AP15</f>
        <v>33776.49</v>
      </c>
      <c r="AQ5" s="56">
        <f>AQ15</f>
        <v>0</v>
      </c>
      <c r="AR5" s="56">
        <f>AR15</f>
        <v>0</v>
      </c>
      <c r="AS5" s="56">
        <f>AS15</f>
        <v>0</v>
      </c>
    </row>
    <row r="6" spans="1:47">
      <c r="I6" s="62"/>
      <c r="S6" s="62"/>
      <c r="AC6" s="62"/>
      <c r="AM6" s="62"/>
    </row>
    <row r="7" spans="1:47">
      <c r="A7" s="18" t="s">
        <v>512</v>
      </c>
      <c r="I7" s="62"/>
      <c r="K7" s="54" t="s">
        <v>937</v>
      </c>
      <c r="S7" s="62"/>
      <c r="U7" s="54" t="s">
        <v>938</v>
      </c>
      <c r="AC7" s="62"/>
      <c r="AE7" s="54" t="s">
        <v>939</v>
      </c>
      <c r="AM7" s="62"/>
      <c r="AO7" s="54" t="s">
        <v>516</v>
      </c>
    </row>
    <row r="8" spans="1:47">
      <c r="A8" t="s">
        <v>557</v>
      </c>
      <c r="B8" t="s">
        <v>940</v>
      </c>
      <c r="C8" t="s">
        <v>941</v>
      </c>
      <c r="D8" t="s">
        <v>942</v>
      </c>
      <c r="E8" t="s">
        <v>943</v>
      </c>
      <c r="F8" t="s">
        <v>944</v>
      </c>
      <c r="G8" t="s">
        <v>945</v>
      </c>
      <c r="I8" s="62"/>
      <c r="K8" t="s">
        <v>557</v>
      </c>
      <c r="L8" t="s">
        <v>940</v>
      </c>
      <c r="M8" t="s">
        <v>941</v>
      </c>
      <c r="N8" t="s">
        <v>942</v>
      </c>
      <c r="O8" t="s">
        <v>943</v>
      </c>
      <c r="P8" t="s">
        <v>944</v>
      </c>
      <c r="Q8" t="s">
        <v>945</v>
      </c>
      <c r="S8" s="62"/>
      <c r="U8" t="s">
        <v>557</v>
      </c>
      <c r="V8" t="s">
        <v>940</v>
      </c>
      <c r="W8" t="s">
        <v>941</v>
      </c>
      <c r="X8" t="s">
        <v>942</v>
      </c>
      <c r="Y8" t="s">
        <v>943</v>
      </c>
      <c r="Z8" t="s">
        <v>944</v>
      </c>
      <c r="AA8" t="s">
        <v>945</v>
      </c>
      <c r="AC8" s="62"/>
      <c r="AE8" t="s">
        <v>557</v>
      </c>
      <c r="AF8" t="s">
        <v>940</v>
      </c>
      <c r="AG8" t="s">
        <v>941</v>
      </c>
      <c r="AH8" t="s">
        <v>942</v>
      </c>
      <c r="AI8" t="s">
        <v>943</v>
      </c>
      <c r="AJ8" t="s">
        <v>944</v>
      </c>
      <c r="AK8" t="s">
        <v>945</v>
      </c>
      <c r="AM8" s="62"/>
      <c r="AO8" t="s">
        <v>557</v>
      </c>
      <c r="AP8" t="s">
        <v>940</v>
      </c>
      <c r="AQ8" t="s">
        <v>941</v>
      </c>
      <c r="AR8" t="s">
        <v>942</v>
      </c>
      <c r="AS8" t="s">
        <v>943</v>
      </c>
      <c r="AT8" t="s">
        <v>944</v>
      </c>
      <c r="AU8" t="s">
        <v>945</v>
      </c>
    </row>
    <row r="9" spans="1:47">
      <c r="A9">
        <v>2006</v>
      </c>
      <c r="B9" s="56">
        <f>Commercial8Fuel!F5*Commercial8EndUse!J28</f>
        <v>15863.890000000001</v>
      </c>
      <c r="C9">
        <f>'Future Type Share'!AB7*0.5*'Future EndUse Share'!AM120</f>
        <v>0</v>
      </c>
      <c r="D9">
        <f>'Future Type Share'!Z7*'Future EndUse Share'!AM120</f>
        <v>0</v>
      </c>
      <c r="E9">
        <f>C9</f>
        <v>0</v>
      </c>
      <c r="F9">
        <v>0</v>
      </c>
      <c r="G9">
        <v>0</v>
      </c>
      <c r="I9" s="62"/>
      <c r="K9">
        <v>2006</v>
      </c>
      <c r="L9" s="56">
        <f>Commercial8Fuel!F5*Commercial8EndUse!H28</f>
        <v>30794.61</v>
      </c>
      <c r="M9" s="56">
        <f>Commercial8Fuel!D5*0.5*Residential8EndUse!S54</f>
        <v>0</v>
      </c>
      <c r="N9" s="56">
        <f>Commercial8Fuel!B5*Commercial8EndUse!S54</f>
        <v>0</v>
      </c>
      <c r="O9" s="56">
        <f>M9</f>
        <v>0</v>
      </c>
      <c r="P9">
        <v>0</v>
      </c>
      <c r="Q9">
        <v>0</v>
      </c>
      <c r="S9" s="62"/>
      <c r="U9">
        <v>2006</v>
      </c>
      <c r="V9">
        <v>0</v>
      </c>
      <c r="W9">
        <v>0</v>
      </c>
      <c r="X9">
        <v>0</v>
      </c>
      <c r="Y9">
        <v>0</v>
      </c>
      <c r="Z9">
        <v>0</v>
      </c>
      <c r="AA9">
        <v>0</v>
      </c>
      <c r="AC9" s="62"/>
      <c r="AE9">
        <v>2006</v>
      </c>
      <c r="AF9" s="56">
        <f>'Future Type Share'!AD7*('Future EndUse Share'!$N120+'Future EndUse Share'!$P120+'Future EndUse Share'!$Q120)</f>
        <v>15863.89</v>
      </c>
      <c r="AG9" s="56">
        <f>'Future Type Share'!AB7*0.5*('Future EndUse Share'!AL120+'Future EndUse Share'!AN120+'Future EndUse Share'!AO120)</f>
        <v>2467.3593062961168</v>
      </c>
      <c r="AH9" s="56">
        <f>'Future Type Share'!Z7*('Future EndUse Share'!$AL120+'Future EndUse Share'!$AN120+'Future EndUse Share'!$AO120)</f>
        <v>13627.461387407766</v>
      </c>
      <c r="AI9" s="56">
        <f>AG9</f>
        <v>2467.3593062961168</v>
      </c>
      <c r="AJ9">
        <v>0</v>
      </c>
      <c r="AK9">
        <v>0</v>
      </c>
      <c r="AM9" s="62"/>
      <c r="AO9">
        <v>2006</v>
      </c>
      <c r="AP9" s="56">
        <f>Commercial8Fuel!F5*(Commercial8EndUse!M28)</f>
        <v>30794.61</v>
      </c>
      <c r="AQ9" s="56">
        <f>'Future Type Share'!AB7*0.5*('Future EndUse Share'!AP120)</f>
        <v>0</v>
      </c>
      <c r="AR9" s="56">
        <f>'Future Type Share'!Z7*('Future EndUse Share'!AP120)</f>
        <v>0</v>
      </c>
      <c r="AS9" s="56">
        <f>AQ9</f>
        <v>0</v>
      </c>
      <c r="AT9">
        <v>0</v>
      </c>
      <c r="AU9">
        <v>0</v>
      </c>
    </row>
    <row r="10" spans="1:47">
      <c r="A10">
        <v>2007</v>
      </c>
      <c r="B10" s="57">
        <f>TREND(B$4:B$5,$A$4:$A$5,$A10)</f>
        <v>15778.733333333337</v>
      </c>
      <c r="C10" s="57">
        <f t="shared" ref="C10:G14" si="0">TREND(C$15:C$19,$A$15:$A$19,$A10)</f>
        <v>0</v>
      </c>
      <c r="D10" s="57">
        <f t="shared" si="0"/>
        <v>0</v>
      </c>
      <c r="E10" s="19">
        <f t="shared" si="0"/>
        <v>0</v>
      </c>
      <c r="F10" s="19">
        <f t="shared" si="0"/>
        <v>0</v>
      </c>
      <c r="G10" s="19">
        <f t="shared" si="0"/>
        <v>0</v>
      </c>
      <c r="I10" s="62"/>
      <c r="K10">
        <v>2007</v>
      </c>
      <c r="L10" s="57">
        <f>TREND(L$4:L$5,$K$4:$K$5,$K10)</f>
        <v>30779.825000000004</v>
      </c>
      <c r="M10" s="57">
        <f>TREND(M$4:M$5,$K$4:$K$5,$K10)</f>
        <v>0</v>
      </c>
      <c r="N10" s="57">
        <f>TREND(N$4:N$5,$K$4:$K$5,$K10)</f>
        <v>0</v>
      </c>
      <c r="O10" s="57">
        <f>TREND(O$4:O$5,$K$4:$K$5,$K10)</f>
        <v>0</v>
      </c>
      <c r="P10" s="57">
        <f t="shared" ref="P10:Q14" si="1">TREND(P$15:P$19,$K$15:$K$19,$K10)</f>
        <v>0</v>
      </c>
      <c r="Q10" s="57">
        <f t="shared" si="1"/>
        <v>0</v>
      </c>
      <c r="S10" s="62"/>
      <c r="U10">
        <v>2007</v>
      </c>
      <c r="V10">
        <v>0</v>
      </c>
      <c r="W10">
        <v>0</v>
      </c>
      <c r="X10">
        <v>0</v>
      </c>
      <c r="Y10">
        <v>0</v>
      </c>
      <c r="Z10">
        <v>0</v>
      </c>
      <c r="AA10">
        <v>0</v>
      </c>
      <c r="AC10" s="62"/>
      <c r="AE10">
        <v>2007</v>
      </c>
      <c r="AF10" s="57">
        <f>TREND(AF$4:AF$5,$AE$4:$AE$5,$AE10)</f>
        <v>16972.851666666567</v>
      </c>
      <c r="AG10" s="57">
        <f>TREND(AG$4:AG$5,$AE$4:$AE$5,$AE10)</f>
        <v>2197.466088580084</v>
      </c>
      <c r="AH10" s="57">
        <f>TREND(AH$4:AH$5,$AE$4:$AE$5,$AE10)</f>
        <v>13736.217822839826</v>
      </c>
      <c r="AI10" s="57">
        <f>TREND(AI$4:AI$5,$AE$4:$AE$5,$AE10)</f>
        <v>2197.466088580084</v>
      </c>
      <c r="AJ10" s="57">
        <f t="shared" ref="AJ10:AK14" si="2">TREND(AJ$15:AJ$19,$AE$15:$AE$19,$AE10)</f>
        <v>0</v>
      </c>
      <c r="AK10" s="57">
        <f t="shared" si="2"/>
        <v>0</v>
      </c>
      <c r="AM10" s="62"/>
      <c r="AO10">
        <v>2007</v>
      </c>
      <c r="AP10" s="57">
        <f>TREND(AP$4:AP$5,$AO$4:$AO$5,$AO10)</f>
        <v>31291.590000000084</v>
      </c>
      <c r="AQ10" s="57">
        <f t="shared" ref="AQ10:AS11" si="3">TREND(AQ$4:AQ$5,$AO$4:$AO$5,$AO10)</f>
        <v>0</v>
      </c>
      <c r="AR10" s="57">
        <f t="shared" si="3"/>
        <v>0</v>
      </c>
      <c r="AS10" s="57">
        <f t="shared" si="3"/>
        <v>0</v>
      </c>
      <c r="AT10" s="57">
        <f t="shared" ref="AT10:AU14" si="4">TREND(AT$15:AT$19,$AO$15:$AO$19,$AO10)</f>
        <v>0</v>
      </c>
      <c r="AU10" s="57">
        <f t="shared" si="4"/>
        <v>0</v>
      </c>
    </row>
    <row r="11" spans="1:47">
      <c r="A11">
        <v>2008</v>
      </c>
      <c r="B11" s="57">
        <f>TREND(B$4:B$5,$A$4:$A$5,$A11)</f>
        <v>15693.57666666669</v>
      </c>
      <c r="C11" s="57">
        <f t="shared" si="0"/>
        <v>0</v>
      </c>
      <c r="D11" s="57">
        <f t="shared" si="0"/>
        <v>0</v>
      </c>
      <c r="E11" s="19">
        <f t="shared" si="0"/>
        <v>0</v>
      </c>
      <c r="F11" s="19">
        <f t="shared" si="0"/>
        <v>0</v>
      </c>
      <c r="G11" s="19">
        <f t="shared" si="0"/>
        <v>0</v>
      </c>
      <c r="I11" s="62"/>
      <c r="K11">
        <v>2008</v>
      </c>
      <c r="L11" s="57">
        <f t="shared" ref="L11:O14" si="5">TREND(L$4:L$5,$K$4:$K$5,$K11)</f>
        <v>30765.040000000005</v>
      </c>
      <c r="M11" s="57">
        <f t="shared" si="5"/>
        <v>0</v>
      </c>
      <c r="N11" s="57">
        <f t="shared" si="5"/>
        <v>0</v>
      </c>
      <c r="O11" s="57">
        <f t="shared" si="5"/>
        <v>0</v>
      </c>
      <c r="P11" s="57">
        <f t="shared" si="1"/>
        <v>0</v>
      </c>
      <c r="Q11" s="57">
        <f t="shared" si="1"/>
        <v>0</v>
      </c>
      <c r="S11" s="62"/>
      <c r="U11">
        <v>2008</v>
      </c>
      <c r="V11">
        <v>0</v>
      </c>
      <c r="W11">
        <v>0</v>
      </c>
      <c r="X11">
        <v>0</v>
      </c>
      <c r="Y11">
        <v>0</v>
      </c>
      <c r="Z11">
        <v>0</v>
      </c>
      <c r="AA11">
        <v>0</v>
      </c>
      <c r="AC11" s="62"/>
      <c r="AE11">
        <v>2008</v>
      </c>
      <c r="AF11" s="57">
        <f t="shared" ref="AF11:AI14" si="6">TREND(AF$4:AF$5,$AE$4:$AE$5,$AE11)</f>
        <v>18081.813333333004</v>
      </c>
      <c r="AG11" s="57">
        <f t="shared" si="6"/>
        <v>1927.5728708640672</v>
      </c>
      <c r="AH11" s="57">
        <f t="shared" si="6"/>
        <v>13844.974258271861</v>
      </c>
      <c r="AI11" s="57">
        <f t="shared" si="6"/>
        <v>1927.5728708640672</v>
      </c>
      <c r="AJ11" s="57">
        <f t="shared" si="2"/>
        <v>0</v>
      </c>
      <c r="AK11" s="57">
        <f t="shared" si="2"/>
        <v>0</v>
      </c>
      <c r="AM11" s="62"/>
      <c r="AO11">
        <v>2008</v>
      </c>
      <c r="AP11" s="57">
        <f>TREND(AP$4:AP$5,$AO$4:$AO$5,$AO11)</f>
        <v>31788.570000000065</v>
      </c>
      <c r="AQ11" s="57">
        <f t="shared" si="3"/>
        <v>0</v>
      </c>
      <c r="AR11" s="57">
        <f t="shared" si="3"/>
        <v>0</v>
      </c>
      <c r="AS11" s="57">
        <f t="shared" si="3"/>
        <v>0</v>
      </c>
      <c r="AT11" s="57">
        <f t="shared" si="4"/>
        <v>0</v>
      </c>
      <c r="AU11" s="57">
        <f t="shared" si="4"/>
        <v>0</v>
      </c>
    </row>
    <row r="12" spans="1:47">
      <c r="A12">
        <v>2009</v>
      </c>
      <c r="B12" s="57">
        <f>TREND(B$4:B$5,$A$4:$A$5,$A12)</f>
        <v>15608.420000000013</v>
      </c>
      <c r="C12" s="57">
        <f t="shared" si="0"/>
        <v>0</v>
      </c>
      <c r="D12" s="57">
        <f t="shared" si="0"/>
        <v>0</v>
      </c>
      <c r="E12" s="19">
        <f t="shared" si="0"/>
        <v>0</v>
      </c>
      <c r="F12" s="19">
        <f t="shared" si="0"/>
        <v>0</v>
      </c>
      <c r="G12" s="19">
        <f t="shared" si="0"/>
        <v>0</v>
      </c>
      <c r="I12" s="62"/>
      <c r="K12">
        <v>2009</v>
      </c>
      <c r="L12" s="57">
        <f t="shared" si="5"/>
        <v>30750.255000000001</v>
      </c>
      <c r="M12" s="57">
        <f t="shared" si="5"/>
        <v>0</v>
      </c>
      <c r="N12" s="57">
        <f t="shared" si="5"/>
        <v>0</v>
      </c>
      <c r="O12" s="57">
        <f t="shared" si="5"/>
        <v>0</v>
      </c>
      <c r="P12" s="57">
        <f t="shared" si="1"/>
        <v>0</v>
      </c>
      <c r="Q12" s="57">
        <f t="shared" si="1"/>
        <v>0</v>
      </c>
      <c r="S12" s="62"/>
      <c r="U12">
        <v>2009</v>
      </c>
      <c r="V12">
        <v>0</v>
      </c>
      <c r="W12">
        <v>0</v>
      </c>
      <c r="X12">
        <v>0</v>
      </c>
      <c r="Y12">
        <v>0</v>
      </c>
      <c r="Z12">
        <v>0</v>
      </c>
      <c r="AA12">
        <v>0</v>
      </c>
      <c r="AC12" s="62"/>
      <c r="AE12">
        <v>2009</v>
      </c>
      <c r="AF12" s="57">
        <f t="shared" si="6"/>
        <v>19190.774999999907</v>
      </c>
      <c r="AG12" s="57">
        <f t="shared" si="6"/>
        <v>1657.6796531480504</v>
      </c>
      <c r="AH12" s="57">
        <f t="shared" si="6"/>
        <v>13953.730693703896</v>
      </c>
      <c r="AI12" s="57">
        <f t="shared" si="6"/>
        <v>1657.6796531480504</v>
      </c>
      <c r="AJ12" s="57">
        <f t="shared" si="2"/>
        <v>0</v>
      </c>
      <c r="AK12" s="57">
        <f t="shared" si="2"/>
        <v>0</v>
      </c>
      <c r="AM12" s="62"/>
      <c r="AO12">
        <v>2009</v>
      </c>
      <c r="AP12" s="57">
        <f t="shared" ref="AP12:AS14" si="7">TREND(AP$4:AP$5,$AO$4:$AO$5,$AO12)</f>
        <v>32285.550000000047</v>
      </c>
      <c r="AQ12" s="57">
        <f t="shared" si="7"/>
        <v>0</v>
      </c>
      <c r="AR12" s="57">
        <f t="shared" si="7"/>
        <v>0</v>
      </c>
      <c r="AS12" s="57">
        <f t="shared" si="7"/>
        <v>0</v>
      </c>
      <c r="AT12" s="57">
        <f t="shared" si="4"/>
        <v>0</v>
      </c>
      <c r="AU12" s="57">
        <f t="shared" si="4"/>
        <v>0</v>
      </c>
    </row>
    <row r="13" spans="1:47">
      <c r="A13">
        <v>2010</v>
      </c>
      <c r="B13" s="57">
        <f>TREND(B$4:B$5,$A$4:$A$5,$A13)</f>
        <v>15523.263333333336</v>
      </c>
      <c r="C13" s="57">
        <f t="shared" si="0"/>
        <v>0</v>
      </c>
      <c r="D13" s="57">
        <f t="shared" si="0"/>
        <v>0</v>
      </c>
      <c r="E13" s="19">
        <f t="shared" si="0"/>
        <v>0</v>
      </c>
      <c r="F13" s="19">
        <f t="shared" si="0"/>
        <v>0</v>
      </c>
      <c r="G13" s="19">
        <f t="shared" si="0"/>
        <v>0</v>
      </c>
      <c r="I13" s="62"/>
      <c r="K13">
        <v>2010</v>
      </c>
      <c r="L13" s="57">
        <f t="shared" si="5"/>
        <v>30735.47</v>
      </c>
      <c r="M13" s="57">
        <f t="shared" si="5"/>
        <v>0</v>
      </c>
      <c r="N13" s="57">
        <f t="shared" si="5"/>
        <v>0</v>
      </c>
      <c r="O13" s="57">
        <f t="shared" si="5"/>
        <v>0</v>
      </c>
      <c r="P13" s="57">
        <f t="shared" si="1"/>
        <v>0</v>
      </c>
      <c r="Q13" s="57">
        <f t="shared" si="1"/>
        <v>0</v>
      </c>
      <c r="S13" s="62"/>
      <c r="U13">
        <v>2010</v>
      </c>
      <c r="V13">
        <v>0</v>
      </c>
      <c r="W13">
        <v>0</v>
      </c>
      <c r="X13">
        <v>0</v>
      </c>
      <c r="Y13">
        <v>0</v>
      </c>
      <c r="Z13">
        <v>0</v>
      </c>
      <c r="AA13">
        <v>0</v>
      </c>
      <c r="AC13" s="62"/>
      <c r="AE13">
        <v>2010</v>
      </c>
      <c r="AF13" s="57">
        <f t="shared" si="6"/>
        <v>20299.736666666344</v>
      </c>
      <c r="AG13" s="57">
        <f t="shared" si="6"/>
        <v>1387.7864354320336</v>
      </c>
      <c r="AH13" s="57">
        <f t="shared" si="6"/>
        <v>14062.48712913593</v>
      </c>
      <c r="AI13" s="57">
        <f t="shared" si="6"/>
        <v>1387.7864354320336</v>
      </c>
      <c r="AJ13" s="57">
        <f t="shared" si="2"/>
        <v>0</v>
      </c>
      <c r="AK13" s="57">
        <f t="shared" si="2"/>
        <v>0</v>
      </c>
      <c r="AM13" s="62"/>
      <c r="AO13">
        <v>2010</v>
      </c>
      <c r="AP13" s="57">
        <f t="shared" si="7"/>
        <v>32782.530000000028</v>
      </c>
      <c r="AQ13" s="57">
        <f t="shared" si="7"/>
        <v>0</v>
      </c>
      <c r="AR13" s="57">
        <f t="shared" si="7"/>
        <v>0</v>
      </c>
      <c r="AS13" s="57">
        <f t="shared" si="7"/>
        <v>0</v>
      </c>
      <c r="AT13" s="57">
        <f t="shared" si="4"/>
        <v>0</v>
      </c>
      <c r="AU13" s="57">
        <f t="shared" si="4"/>
        <v>0</v>
      </c>
    </row>
    <row r="14" spans="1:47">
      <c r="A14">
        <v>2011</v>
      </c>
      <c r="B14" s="57">
        <f>TREND(B$4:B$5,$A$4:$A$5,$A14)</f>
        <v>15438.106666666688</v>
      </c>
      <c r="C14" s="57">
        <f t="shared" si="0"/>
        <v>0</v>
      </c>
      <c r="D14" s="57">
        <f t="shared" si="0"/>
        <v>0</v>
      </c>
      <c r="E14" s="19">
        <f t="shared" si="0"/>
        <v>0</v>
      </c>
      <c r="F14" s="19">
        <f t="shared" si="0"/>
        <v>0</v>
      </c>
      <c r="G14" s="19">
        <f t="shared" si="0"/>
        <v>0</v>
      </c>
      <c r="I14" s="62"/>
      <c r="K14">
        <v>2011</v>
      </c>
      <c r="L14" s="57">
        <f t="shared" si="5"/>
        <v>30720.685000000001</v>
      </c>
      <c r="M14" s="57">
        <f t="shared" si="5"/>
        <v>0</v>
      </c>
      <c r="N14" s="57">
        <f t="shared" si="5"/>
        <v>0</v>
      </c>
      <c r="O14" s="57">
        <f t="shared" si="5"/>
        <v>0</v>
      </c>
      <c r="P14" s="57">
        <f t="shared" si="1"/>
        <v>0</v>
      </c>
      <c r="Q14" s="57">
        <f t="shared" si="1"/>
        <v>0</v>
      </c>
      <c r="S14" s="62"/>
      <c r="U14">
        <v>2011</v>
      </c>
      <c r="V14">
        <v>0</v>
      </c>
      <c r="W14">
        <v>0</v>
      </c>
      <c r="X14">
        <v>0</v>
      </c>
      <c r="Y14">
        <v>0</v>
      </c>
      <c r="Z14">
        <v>0</v>
      </c>
      <c r="AA14">
        <v>0</v>
      </c>
      <c r="AC14" s="62"/>
      <c r="AE14">
        <v>2011</v>
      </c>
      <c r="AF14" s="57">
        <f t="shared" si="6"/>
        <v>21408.698333333246</v>
      </c>
      <c r="AG14" s="57">
        <f t="shared" si="6"/>
        <v>1117.8932177160168</v>
      </c>
      <c r="AH14" s="57">
        <f t="shared" si="6"/>
        <v>14171.243564567994</v>
      </c>
      <c r="AI14" s="57">
        <f t="shared" si="6"/>
        <v>1117.8932177160168</v>
      </c>
      <c r="AJ14" s="57">
        <f t="shared" si="2"/>
        <v>0</v>
      </c>
      <c r="AK14" s="57">
        <f t="shared" si="2"/>
        <v>0</v>
      </c>
      <c r="AM14" s="62"/>
      <c r="AO14">
        <v>2011</v>
      </c>
      <c r="AP14" s="57">
        <f t="shared" si="7"/>
        <v>33279.510000000009</v>
      </c>
      <c r="AQ14" s="57">
        <f t="shared" si="7"/>
        <v>0</v>
      </c>
      <c r="AR14" s="57">
        <f t="shared" si="7"/>
        <v>0</v>
      </c>
      <c r="AS14" s="57">
        <f t="shared" si="7"/>
        <v>0</v>
      </c>
      <c r="AT14" s="57">
        <f t="shared" si="4"/>
        <v>0</v>
      </c>
      <c r="AU14" s="57">
        <f t="shared" si="4"/>
        <v>0</v>
      </c>
    </row>
    <row r="15" spans="1:47">
      <c r="A15">
        <v>2012</v>
      </c>
      <c r="B15" s="56">
        <f>Commercial8Fuel!F11*Commercial8EndUse!J34</f>
        <v>15352.949999999999</v>
      </c>
      <c r="C15">
        <f>'Future Type Share'!AB13*0.5*'Future EndUse Share'!AM126</f>
        <v>0</v>
      </c>
      <c r="D15">
        <f>'Future Type Share'!Z13*'Future EndUse Share'!AM126</f>
        <v>0</v>
      </c>
      <c r="E15">
        <f t="shared" ref="E15:E21" si="8">C15</f>
        <v>0</v>
      </c>
      <c r="F15">
        <v>0</v>
      </c>
      <c r="G15">
        <v>0</v>
      </c>
      <c r="I15" s="62"/>
      <c r="K15">
        <v>2012</v>
      </c>
      <c r="L15" s="56">
        <f>Commercial8Fuel!F11*Commercial8EndUse!H34</f>
        <v>30705.899999999998</v>
      </c>
      <c r="M15" s="56">
        <f>Commercial8Fuel!D11*0.5*Residential8EndUse!S60</f>
        <v>0</v>
      </c>
      <c r="N15" s="56">
        <f>Commercial8Fuel!B11*Commercial8EndUse!S60</f>
        <v>0</v>
      </c>
      <c r="O15" s="56">
        <f t="shared" ref="O15:O20" si="9">M15</f>
        <v>0</v>
      </c>
      <c r="P15">
        <v>0</v>
      </c>
      <c r="Q15">
        <v>0</v>
      </c>
      <c r="S15" s="62"/>
      <c r="U15">
        <v>2012</v>
      </c>
      <c r="V15">
        <v>0</v>
      </c>
      <c r="W15">
        <v>0</v>
      </c>
      <c r="X15">
        <v>0</v>
      </c>
      <c r="Y15">
        <v>0</v>
      </c>
      <c r="Z15">
        <v>0</v>
      </c>
      <c r="AA15">
        <v>0</v>
      </c>
      <c r="AC15" s="62"/>
      <c r="AE15">
        <v>2012</v>
      </c>
      <c r="AF15" s="56">
        <f>'Future Type Share'!AD13*('Future EndUse Share'!$N126+'Future EndUse Share'!$P126+'Future EndUse Share'!$Q126)</f>
        <v>22517.660000000003</v>
      </c>
      <c r="AG15" s="56">
        <f>'Future Type Share'!AB13*0.5*('Future EndUse Share'!AL126+'Future EndUse Share'!AN126+'Future EndUse Share'!AO126)</f>
        <v>848</v>
      </c>
      <c r="AH15" s="56">
        <f>'Future Type Share'!Z13*('Future EndUse Share'!$AL126+'Future EndUse Share'!$AN126+'Future EndUse Share'!$AO126)</f>
        <v>14280</v>
      </c>
      <c r="AI15" s="56">
        <f t="shared" ref="AI15:AI20" si="10">AG15</f>
        <v>848</v>
      </c>
      <c r="AJ15">
        <v>0</v>
      </c>
      <c r="AK15">
        <v>0</v>
      </c>
      <c r="AM15" s="62"/>
      <c r="AO15">
        <v>2012</v>
      </c>
      <c r="AP15" s="56">
        <f>Commercial8Fuel!F11*(Commercial8EndUse!M34)</f>
        <v>33776.49</v>
      </c>
      <c r="AQ15" s="56">
        <f>'Future Type Share'!AB13*0.5*('Future EndUse Share'!AP126)</f>
        <v>0</v>
      </c>
      <c r="AR15" s="56">
        <f>'Future Type Share'!Z13*('Future EndUse Share'!AP126)</f>
        <v>0</v>
      </c>
      <c r="AS15" s="56">
        <f t="shared" ref="AS15:AS20" si="11">AQ15</f>
        <v>0</v>
      </c>
      <c r="AT15">
        <v>0</v>
      </c>
      <c r="AU15">
        <v>0</v>
      </c>
    </row>
    <row r="16" spans="1:47">
      <c r="A16">
        <v>2013</v>
      </c>
      <c r="B16" s="56">
        <f>Commercial8Fuel!F12*Commercial8EndUse!J35</f>
        <v>16355.36</v>
      </c>
      <c r="C16">
        <f>'Future Type Share'!AB14*0.5*'Future EndUse Share'!AM127</f>
        <v>0</v>
      </c>
      <c r="D16">
        <f>'Future Type Share'!Z14*'Future EndUse Share'!AM127</f>
        <v>0</v>
      </c>
      <c r="E16">
        <f t="shared" si="8"/>
        <v>0</v>
      </c>
      <c r="F16">
        <v>0</v>
      </c>
      <c r="G16">
        <v>0</v>
      </c>
      <c r="I16" s="62"/>
      <c r="K16">
        <v>2013</v>
      </c>
      <c r="L16" s="56">
        <f>Commercial8Fuel!F12*Commercial8EndUse!H35</f>
        <v>30666.3</v>
      </c>
      <c r="M16" s="56">
        <f>Commercial8Fuel!D12*0.5*Residential8EndUse!S61</f>
        <v>0</v>
      </c>
      <c r="N16" s="56">
        <f>Commercial8Fuel!B12*Commercial8EndUse!S65</f>
        <v>0</v>
      </c>
      <c r="O16" s="56">
        <f t="shared" si="9"/>
        <v>0</v>
      </c>
      <c r="P16">
        <v>0</v>
      </c>
      <c r="Q16">
        <v>0</v>
      </c>
      <c r="S16" s="62"/>
      <c r="U16">
        <v>2013</v>
      </c>
      <c r="V16">
        <v>0</v>
      </c>
      <c r="W16">
        <v>0</v>
      </c>
      <c r="X16">
        <v>0</v>
      </c>
      <c r="Y16">
        <v>0</v>
      </c>
      <c r="Z16">
        <v>0</v>
      </c>
      <c r="AA16">
        <v>0</v>
      </c>
      <c r="AC16" s="62"/>
      <c r="AE16">
        <v>2013</v>
      </c>
      <c r="AF16" s="56">
        <f>'Future Type Share'!AD14*('Future EndUse Share'!$N127+'Future EndUse Share'!$P127+'Future EndUse Share'!$Q127)</f>
        <v>22488.620000000003</v>
      </c>
      <c r="AG16" s="56">
        <f>'Future Type Share'!AB14*0.5*('Future EndUse Share'!AL127+'Future EndUse Share'!AN127+'Future EndUse Share'!AO127)</f>
        <v>738.5</v>
      </c>
      <c r="AH16" s="56">
        <f>'Future Type Share'!Z14*('Future EndUse Share'!$AL127+'Future EndUse Share'!$AN127+'Future EndUse Share'!$AO127)</f>
        <v>14512</v>
      </c>
      <c r="AI16" s="56">
        <f t="shared" si="10"/>
        <v>738.5</v>
      </c>
      <c r="AJ16">
        <v>0</v>
      </c>
      <c r="AK16">
        <v>0</v>
      </c>
      <c r="AM16" s="62"/>
      <c r="AO16">
        <v>2013</v>
      </c>
      <c r="AP16" s="56">
        <f>Commercial8Fuel!F12*(Commercial8EndUse!M35)</f>
        <v>32710.720000000001</v>
      </c>
      <c r="AQ16" s="56">
        <f>'Future Type Share'!AB14*0.5*('Future EndUse Share'!AP127)</f>
        <v>0</v>
      </c>
      <c r="AR16" s="56">
        <f>'Future Type Share'!Z14*('Future EndUse Share'!AP127)</f>
        <v>0</v>
      </c>
      <c r="AS16" s="56">
        <f t="shared" si="11"/>
        <v>0</v>
      </c>
      <c r="AT16">
        <v>0</v>
      </c>
      <c r="AU16">
        <v>0</v>
      </c>
    </row>
    <row r="17" spans="1:47">
      <c r="A17">
        <v>2014</v>
      </c>
      <c r="B17" s="56">
        <f>Commercial8Fuel!F13*Commercial8EndUse!J36</f>
        <v>15520.65</v>
      </c>
      <c r="C17">
        <f>'Future Type Share'!AB15*0.5*'Future EndUse Share'!AM128</f>
        <v>0</v>
      </c>
      <c r="D17">
        <f>'Future Type Share'!Z15*'Future EndUse Share'!AM128</f>
        <v>0</v>
      </c>
      <c r="E17">
        <f t="shared" si="8"/>
        <v>0</v>
      </c>
      <c r="F17">
        <v>0</v>
      </c>
      <c r="G17">
        <v>0</v>
      </c>
      <c r="I17" s="62"/>
      <c r="K17">
        <v>2014</v>
      </c>
      <c r="L17" s="56">
        <f>Commercial8Fuel!F13*Commercial8EndUse!H36</f>
        <v>32076.01</v>
      </c>
      <c r="M17" s="56">
        <f>Commercial8Fuel!D13*0.5*Residential8EndUse!S62</f>
        <v>0</v>
      </c>
      <c r="N17" s="56">
        <f>Commercial8Fuel!B13*Commercial8EndUse!S66</f>
        <v>0</v>
      </c>
      <c r="O17" s="56">
        <f t="shared" si="9"/>
        <v>0</v>
      </c>
      <c r="P17">
        <v>0</v>
      </c>
      <c r="Q17">
        <v>0</v>
      </c>
      <c r="S17" s="62"/>
      <c r="U17">
        <v>2014</v>
      </c>
      <c r="V17">
        <v>0</v>
      </c>
      <c r="W17">
        <v>0</v>
      </c>
      <c r="X17">
        <v>0</v>
      </c>
      <c r="Y17">
        <v>0</v>
      </c>
      <c r="Z17">
        <v>0</v>
      </c>
      <c r="AA17">
        <v>0</v>
      </c>
      <c r="AC17" s="62"/>
      <c r="AE17">
        <v>2014</v>
      </c>
      <c r="AF17" s="56">
        <f>'Future Type Share'!AD15*('Future EndUse Share'!$N128+'Future EndUse Share'!$P128+'Future EndUse Share'!$Q128)</f>
        <v>22763.620000000003</v>
      </c>
      <c r="AG17" s="56">
        <f>'Future Type Share'!AB15*0.5*('Future EndUse Share'!AL128+'Future EndUse Share'!AN128+'Future EndUse Share'!AO128)</f>
        <v>715.5</v>
      </c>
      <c r="AH17" s="56">
        <f>'Future Type Share'!Z15*('Future EndUse Share'!$AL128+'Future EndUse Share'!$AN128+'Future EndUse Share'!$AO128)</f>
        <v>14713</v>
      </c>
      <c r="AI17" s="56">
        <f t="shared" si="10"/>
        <v>715.5</v>
      </c>
      <c r="AJ17">
        <v>0</v>
      </c>
      <c r="AK17">
        <v>0</v>
      </c>
      <c r="AM17" s="62"/>
      <c r="AO17">
        <v>2014</v>
      </c>
      <c r="AP17" s="56">
        <f>Commercial8Fuel!F13*(Commercial8EndUse!M36)</f>
        <v>33110.720000000001</v>
      </c>
      <c r="AQ17" s="56">
        <f>'Future Type Share'!AB15*0.5*('Future EndUse Share'!AP128)</f>
        <v>0</v>
      </c>
      <c r="AR17" s="56">
        <f>'Future Type Share'!Z15*('Future EndUse Share'!AP128)</f>
        <v>0</v>
      </c>
      <c r="AS17" s="56">
        <f t="shared" si="11"/>
        <v>0</v>
      </c>
      <c r="AT17">
        <v>0</v>
      </c>
      <c r="AU17">
        <v>0</v>
      </c>
    </row>
    <row r="18" spans="1:47">
      <c r="A18">
        <v>2015</v>
      </c>
      <c r="B18" s="56">
        <f>Commercial8Fuel!F14*Commercial8EndUse!J37</f>
        <v>15697.05</v>
      </c>
      <c r="C18">
        <f>'Future Type Share'!AB16*0.5*'Future EndUse Share'!AM129</f>
        <v>0</v>
      </c>
      <c r="D18">
        <f>'Future Type Share'!Z16*'Future EndUse Share'!AM129</f>
        <v>0</v>
      </c>
      <c r="E18">
        <f t="shared" si="8"/>
        <v>0</v>
      </c>
      <c r="F18">
        <v>0</v>
      </c>
      <c r="G18">
        <v>0</v>
      </c>
      <c r="I18" s="62"/>
      <c r="K18">
        <v>2015</v>
      </c>
      <c r="L18" s="56">
        <f>Commercial8Fuel!F14*Commercial8EndUse!H37</f>
        <v>30347.629999999997</v>
      </c>
      <c r="M18" s="56">
        <f>Commercial8Fuel!D14*0.5*Residential8EndUse!S63</f>
        <v>0</v>
      </c>
      <c r="N18" s="56">
        <v>0</v>
      </c>
      <c r="O18" s="56">
        <f t="shared" si="9"/>
        <v>0</v>
      </c>
      <c r="P18">
        <v>0</v>
      </c>
      <c r="Q18">
        <v>0</v>
      </c>
      <c r="S18" s="62"/>
      <c r="U18">
        <v>2015</v>
      </c>
      <c r="V18">
        <v>0</v>
      </c>
      <c r="W18">
        <v>0</v>
      </c>
      <c r="X18">
        <v>0</v>
      </c>
      <c r="Y18">
        <v>0</v>
      </c>
      <c r="Z18">
        <v>0</v>
      </c>
      <c r="AA18">
        <v>0</v>
      </c>
      <c r="AC18" s="62"/>
      <c r="AE18">
        <v>2015</v>
      </c>
      <c r="AF18" s="56">
        <f>'Future Type Share'!AD16*('Future EndUse Share'!$N129+'Future EndUse Share'!$P129+'Future EndUse Share'!$Q129)</f>
        <v>21975.870000000003</v>
      </c>
      <c r="AG18" s="56">
        <f>'Future Type Share'!AB16*0.5*('Future EndUse Share'!AL129+'Future EndUse Share'!AN129+'Future EndUse Share'!AO129)</f>
        <v>617.5</v>
      </c>
      <c r="AH18" s="56">
        <f>'Future Type Share'!Z16*('Future EndUse Share'!$AL129+'Future EndUse Share'!$AN129+'Future EndUse Share'!$AO129)</f>
        <v>14535</v>
      </c>
      <c r="AI18" s="56">
        <f t="shared" si="10"/>
        <v>617.5</v>
      </c>
      <c r="AJ18">
        <v>0</v>
      </c>
      <c r="AK18">
        <v>0</v>
      </c>
      <c r="AM18" s="62"/>
      <c r="AO18">
        <v>2015</v>
      </c>
      <c r="AP18" s="56">
        <f>Commercial8Fuel!F14*(Commercial8EndUse!M37)</f>
        <v>36626.449999999997</v>
      </c>
      <c r="AQ18" s="56">
        <f>'Future Type Share'!AB16*0.5*('Future EndUse Share'!AP129)</f>
        <v>0</v>
      </c>
      <c r="AR18" s="56">
        <f>'Future Type Share'!Z16*('Future EndUse Share'!AP129)</f>
        <v>0</v>
      </c>
      <c r="AS18" s="56">
        <f t="shared" si="11"/>
        <v>0</v>
      </c>
      <c r="AT18">
        <v>0</v>
      </c>
      <c r="AU18">
        <v>0</v>
      </c>
    </row>
    <row r="19" spans="1:47">
      <c r="A19">
        <v>2016</v>
      </c>
      <c r="B19" s="56">
        <f>Commercial8Fuel!$F15*Commercial8EndUse!$J38</f>
        <v>15725.849999999999</v>
      </c>
      <c r="C19">
        <f>'Future Type Share'!AB17*0.5*'Future EndUse Share'!AM130</f>
        <v>0</v>
      </c>
      <c r="D19">
        <f>'Future Type Share'!Z17*'Future EndUse Share'!AM130</f>
        <v>0</v>
      </c>
      <c r="E19">
        <f t="shared" si="8"/>
        <v>0</v>
      </c>
      <c r="F19">
        <v>0</v>
      </c>
      <c r="G19">
        <v>0</v>
      </c>
      <c r="I19" s="62"/>
      <c r="K19">
        <v>2016</v>
      </c>
      <c r="L19" s="56">
        <f>Commercial8Fuel!F15*Commercial8EndUse!H38</f>
        <v>30403.309999999998</v>
      </c>
      <c r="M19" s="56">
        <f>Commercial8Fuel!D15*0.5*Residential8EndUse!S64</f>
        <v>0</v>
      </c>
      <c r="N19" s="56">
        <v>0</v>
      </c>
      <c r="O19" s="56">
        <f t="shared" si="9"/>
        <v>0</v>
      </c>
      <c r="P19">
        <v>0</v>
      </c>
      <c r="Q19">
        <v>0</v>
      </c>
      <c r="S19" s="62"/>
      <c r="U19">
        <v>2016</v>
      </c>
      <c r="V19">
        <v>0</v>
      </c>
      <c r="W19">
        <v>0</v>
      </c>
      <c r="X19">
        <v>0</v>
      </c>
      <c r="Y19">
        <v>0</v>
      </c>
      <c r="Z19">
        <v>0</v>
      </c>
      <c r="AA19">
        <v>0</v>
      </c>
      <c r="AC19" s="62"/>
      <c r="AE19">
        <v>2016</v>
      </c>
      <c r="AF19" s="56">
        <f>'Future Type Share'!AD17*('Future EndUse Share'!$N130+'Future EndUse Share'!$P130+'Future EndUse Share'!$Q130)</f>
        <v>22016.190000000002</v>
      </c>
      <c r="AG19" s="56">
        <f>'Future Type Share'!AB17*0.5*('Future EndUse Share'!AL130+'Future EndUse Share'!AN130+'Future EndUse Share'!AO130)</f>
        <v>509.5</v>
      </c>
      <c r="AH19" s="56">
        <f>'Future Type Share'!Z17*('Future EndUse Share'!$AL130+'Future EndUse Share'!$AN130+'Future EndUse Share'!$AO130)</f>
        <v>14601</v>
      </c>
      <c r="AI19" s="56">
        <f t="shared" si="10"/>
        <v>509.5</v>
      </c>
      <c r="AJ19">
        <v>0</v>
      </c>
      <c r="AK19">
        <v>0</v>
      </c>
      <c r="AM19" s="62"/>
      <c r="AO19">
        <v>2016</v>
      </c>
      <c r="AP19" s="56">
        <f>Commercial8Fuel!F15*(Commercial8EndUse!M38)</f>
        <v>36693.649999999994</v>
      </c>
      <c r="AQ19" s="56">
        <f>'Future Type Share'!AB17*0.5*('Future EndUse Share'!AP130)</f>
        <v>0</v>
      </c>
      <c r="AR19" s="56">
        <f>'Future Type Share'!Z17*('Future EndUse Share'!AP130)</f>
        <v>0</v>
      </c>
      <c r="AS19" s="56">
        <f t="shared" si="11"/>
        <v>0</v>
      </c>
      <c r="AT19">
        <v>0</v>
      </c>
      <c r="AU19">
        <v>0</v>
      </c>
    </row>
    <row r="20" spans="1:47">
      <c r="A20">
        <v>2017</v>
      </c>
      <c r="B20" s="56">
        <f>Commercial8Fuel!$F16*Commercial8EndUse!$J39</f>
        <v>14653.660000000002</v>
      </c>
      <c r="C20">
        <f>'Future Type Share'!AB18*0.5*'Future EndUse Share'!AM131</f>
        <v>0</v>
      </c>
      <c r="D20">
        <f>'Future Type Share'!Z18*'Future EndUse Share'!AM131</f>
        <v>0</v>
      </c>
      <c r="E20">
        <f t="shared" si="8"/>
        <v>0</v>
      </c>
      <c r="F20">
        <v>0</v>
      </c>
      <c r="G20">
        <v>0</v>
      </c>
      <c r="I20" s="62"/>
      <c r="K20">
        <v>2017</v>
      </c>
      <c r="L20" s="56">
        <f>Commercial8Fuel!F16*Commercial8EndUse!H39</f>
        <v>31400.699999999997</v>
      </c>
      <c r="M20">
        <f>'Future Type Share'!AB18*0.5*'Future EndUse Share'!$AK$131</f>
        <v>0</v>
      </c>
      <c r="N20">
        <f>'Future Type Share'!Z18*'Future EndUse Share'!$AK$131</f>
        <v>0</v>
      </c>
      <c r="O20" s="56">
        <f t="shared" si="9"/>
        <v>0</v>
      </c>
      <c r="P20">
        <f>P19</f>
        <v>0</v>
      </c>
      <c r="Q20">
        <f>P20</f>
        <v>0</v>
      </c>
      <c r="S20" s="62"/>
      <c r="U20">
        <v>2017</v>
      </c>
      <c r="V20">
        <f t="shared" ref="V20:AA20" si="12">V19</f>
        <v>0</v>
      </c>
      <c r="W20">
        <f t="shared" si="12"/>
        <v>0</v>
      </c>
      <c r="X20">
        <f t="shared" si="12"/>
        <v>0</v>
      </c>
      <c r="Y20">
        <f t="shared" si="12"/>
        <v>0</v>
      </c>
      <c r="Z20">
        <f t="shared" si="12"/>
        <v>0</v>
      </c>
      <c r="AA20">
        <f t="shared" si="12"/>
        <v>0</v>
      </c>
      <c r="AC20" s="62"/>
      <c r="AE20">
        <v>2017</v>
      </c>
      <c r="AF20" s="56">
        <f>'Future Type Share'!AD18*('Future EndUse Share'!$N131+'Future EndUse Share'!$P131+'Future EndUse Share'!$Q131)</f>
        <v>23027.18</v>
      </c>
      <c r="AG20" s="56">
        <f>'Future Type Share'!AB18*0.5*('Future EndUse Share'!AL131+'Future EndUse Share'!AN131+'Future EndUse Share'!AO131)</f>
        <v>415</v>
      </c>
      <c r="AH20" s="56">
        <f>'Future Type Share'!Z18*('Future EndUse Share'!$AL131+'Future EndUse Share'!$AN131+'Future EndUse Share'!$AO131)</f>
        <v>14908</v>
      </c>
      <c r="AI20" s="56">
        <f t="shared" si="10"/>
        <v>415</v>
      </c>
      <c r="AJ20">
        <f>AJ19</f>
        <v>0</v>
      </c>
      <c r="AK20">
        <f>AK19</f>
        <v>0</v>
      </c>
      <c r="AM20" s="62"/>
      <c r="AO20">
        <v>2017</v>
      </c>
      <c r="AP20" s="56">
        <f>'Future Type Share'!AD18*('Future EndUse Share'!R131)</f>
        <v>35587.46</v>
      </c>
      <c r="AQ20" s="56">
        <f>'Future Type Share'!AB18*0.5*('Future EndUse Share'!AP131)</f>
        <v>0</v>
      </c>
      <c r="AR20" s="56">
        <f>'Future Type Share'!Z18*('Future EndUse Share'!AP131)</f>
        <v>0</v>
      </c>
      <c r="AS20" s="56">
        <f t="shared" si="11"/>
        <v>0</v>
      </c>
      <c r="AT20">
        <f>AT19</f>
        <v>0</v>
      </c>
      <c r="AU20">
        <f>AU19</f>
        <v>0</v>
      </c>
    </row>
    <row r="21" spans="1:47">
      <c r="A21">
        <v>2018</v>
      </c>
      <c r="B21" s="56">
        <f>Commercial8Fuel!$F17*Commercial8EndUse!$J40</f>
        <v>14880.740000000002</v>
      </c>
      <c r="C21">
        <f>'Future Type Share'!AB19*0.5*'Future EndUse Share'!AM132</f>
        <v>0</v>
      </c>
      <c r="D21">
        <f>'Future Type Share'!Z19*'Future EndUse Share'!AM132</f>
        <v>0</v>
      </c>
      <c r="E21">
        <f t="shared" si="8"/>
        <v>0</v>
      </c>
      <c r="F21">
        <v>0</v>
      </c>
      <c r="G21">
        <v>0</v>
      </c>
      <c r="I21" s="62"/>
      <c r="K21">
        <v>2018</v>
      </c>
      <c r="L21" s="56">
        <f>Commercial8Fuel!F17*Commercial8EndUse!H40</f>
        <v>32950.21</v>
      </c>
      <c r="M21">
        <f>'Future Type Share'!AB19*0.5*'Future EndUse Share'!$AK$131</f>
        <v>0</v>
      </c>
      <c r="N21">
        <f>'Future Type Share'!Z19*'Future EndUse Share'!$AK$131</f>
        <v>0</v>
      </c>
      <c r="O21" s="56">
        <f t="shared" ref="O21:O53" si="13">M21</f>
        <v>0</v>
      </c>
      <c r="P21">
        <f t="shared" ref="P21:P53" si="14">P20</f>
        <v>0</v>
      </c>
      <c r="Q21">
        <f t="shared" ref="Q21:Q53" si="15">P21</f>
        <v>0</v>
      </c>
      <c r="S21" s="62"/>
      <c r="U21">
        <v>2018</v>
      </c>
      <c r="V21">
        <f t="shared" ref="V21:V53" si="16">V20</f>
        <v>0</v>
      </c>
      <c r="W21">
        <f t="shared" ref="W21:W53" si="17">W20</f>
        <v>0</v>
      </c>
      <c r="X21">
        <f t="shared" ref="X21:X53" si="18">X20</f>
        <v>0</v>
      </c>
      <c r="Y21">
        <f t="shared" ref="Y21:Y53" si="19">Y20</f>
        <v>0</v>
      </c>
      <c r="Z21">
        <f t="shared" ref="Z21:Z53" si="20">Z20</f>
        <v>0</v>
      </c>
      <c r="AA21">
        <f t="shared" ref="AA21:AA53" si="21">AA20</f>
        <v>0</v>
      </c>
      <c r="AC21" s="62"/>
      <c r="AE21">
        <v>2018</v>
      </c>
      <c r="AF21" s="56">
        <f>'Future Type Share'!AD19*('Future EndUse Share'!$N132+'Future EndUse Share'!$P132+'Future EndUse Share'!$Q132)</f>
        <v>23384.02</v>
      </c>
      <c r="AG21" s="56">
        <f>'Future Type Share'!AB19*0.5*('Future EndUse Share'!AL132+'Future EndUse Share'!AN132+'Future EndUse Share'!AO132)</f>
        <v>337.5</v>
      </c>
      <c r="AH21" s="56">
        <f>'Future Type Share'!Z19*('Future EndUse Share'!$AL132+'Future EndUse Share'!$AN132+'Future EndUse Share'!$AO132)</f>
        <v>15254</v>
      </c>
      <c r="AI21" s="56">
        <f t="shared" ref="AI21:AI53" si="22">AG21</f>
        <v>337.5</v>
      </c>
      <c r="AJ21">
        <f t="shared" ref="AJ21:AJ53" si="23">AJ20</f>
        <v>0</v>
      </c>
      <c r="AK21">
        <f t="shared" ref="AK21:AK53" si="24">AK20</f>
        <v>0</v>
      </c>
      <c r="AM21" s="62"/>
      <c r="AO21">
        <v>2018</v>
      </c>
      <c r="AP21" s="56">
        <f>'Future Type Share'!AD19*('Future EndUse Share'!R132)</f>
        <v>36138.94</v>
      </c>
      <c r="AQ21" s="56">
        <f>'Future Type Share'!AB19*0.5*('Future EndUse Share'!AP132)</f>
        <v>0</v>
      </c>
      <c r="AR21" s="56">
        <f>'Future Type Share'!Z19*('Future EndUse Share'!AP132)</f>
        <v>0</v>
      </c>
      <c r="AS21" s="56">
        <f t="shared" ref="AS21:AS53" si="25">AQ21</f>
        <v>0</v>
      </c>
      <c r="AT21">
        <f t="shared" ref="AT21:AT53" si="26">AT20</f>
        <v>0</v>
      </c>
      <c r="AU21">
        <f t="shared" ref="AU21:AU53" si="27">AU20</f>
        <v>0</v>
      </c>
    </row>
    <row r="22" spans="1:47">
      <c r="A22">
        <v>2019</v>
      </c>
      <c r="B22" s="56">
        <f>Commercial8Fuel!$F18*Commercial8EndUse!$J41</f>
        <v>12958.56</v>
      </c>
      <c r="C22">
        <f>'Future Type Share'!AB20*0.5*'Future EndUse Share'!AM133</f>
        <v>0</v>
      </c>
      <c r="D22">
        <f>'Future Type Share'!Z20*'Future EndUse Share'!AM133</f>
        <v>0</v>
      </c>
      <c r="E22">
        <f t="shared" ref="E22:E53" si="28">C22</f>
        <v>0</v>
      </c>
      <c r="F22">
        <v>0</v>
      </c>
      <c r="G22">
        <v>0</v>
      </c>
      <c r="I22" s="62"/>
      <c r="K22">
        <v>2019</v>
      </c>
      <c r="L22" s="56">
        <f>Commercial8Fuel!F18*Commercial8EndUse!H41</f>
        <v>26997</v>
      </c>
      <c r="M22">
        <f>'Future Type Share'!AB20*0.5*'Future EndUse Share'!$AK$131</f>
        <v>0</v>
      </c>
      <c r="N22">
        <f>'Future Type Share'!Z20*'Future EndUse Share'!$AK$131</f>
        <v>0</v>
      </c>
      <c r="O22" s="56">
        <f t="shared" si="13"/>
        <v>0</v>
      </c>
      <c r="P22">
        <f t="shared" si="14"/>
        <v>0</v>
      </c>
      <c r="Q22">
        <f t="shared" si="15"/>
        <v>0</v>
      </c>
      <c r="S22" s="62"/>
      <c r="U22">
        <v>2019</v>
      </c>
      <c r="V22">
        <f t="shared" si="16"/>
        <v>0</v>
      </c>
      <c r="W22">
        <f t="shared" si="17"/>
        <v>0</v>
      </c>
      <c r="X22">
        <f t="shared" si="18"/>
        <v>0</v>
      </c>
      <c r="Y22">
        <f t="shared" si="19"/>
        <v>0</v>
      </c>
      <c r="Z22">
        <f t="shared" si="20"/>
        <v>0</v>
      </c>
      <c r="AA22">
        <f t="shared" si="21"/>
        <v>0</v>
      </c>
      <c r="AC22" s="62"/>
      <c r="AE22">
        <v>2019</v>
      </c>
      <c r="AF22" s="56">
        <f>'Future Type Share'!AD20*('Future EndUse Share'!$N133+'Future EndUse Share'!$P133+'Future EndUse Share'!$Q133)</f>
        <v>21597.600000000002</v>
      </c>
      <c r="AG22" s="56">
        <f>'Future Type Share'!AB20*0.5*('Future EndUse Share'!AL133+'Future EndUse Share'!AN133+'Future EndUse Share'!AO133)</f>
        <v>287</v>
      </c>
      <c r="AH22" s="56">
        <f>'Future Type Share'!Z20*('Future EndUse Share'!$AL133+'Future EndUse Share'!$AN133+'Future EndUse Share'!$AO133)</f>
        <v>14440</v>
      </c>
      <c r="AI22" s="56">
        <f t="shared" si="22"/>
        <v>287</v>
      </c>
      <c r="AJ22">
        <f t="shared" si="23"/>
        <v>0</v>
      </c>
      <c r="AK22">
        <f t="shared" si="24"/>
        <v>0</v>
      </c>
      <c r="AM22" s="62"/>
      <c r="AO22">
        <v>2019</v>
      </c>
      <c r="AP22" s="56">
        <f>'Future Type Share'!AD20*('Future EndUse Share'!R133)</f>
        <v>46434.84</v>
      </c>
      <c r="AQ22" s="56">
        <f>'Future Type Share'!AB20*0.5*('Future EndUse Share'!AP133)</f>
        <v>0</v>
      </c>
      <c r="AR22" s="56">
        <f>'Future Type Share'!Z20*('Future EndUse Share'!AP133)</f>
        <v>0</v>
      </c>
      <c r="AS22" s="56">
        <f t="shared" si="25"/>
        <v>0</v>
      </c>
      <c r="AT22">
        <f t="shared" si="26"/>
        <v>0</v>
      </c>
      <c r="AU22">
        <f t="shared" si="27"/>
        <v>0</v>
      </c>
    </row>
    <row r="23" spans="1:47">
      <c r="A23">
        <v>2020</v>
      </c>
      <c r="B23" s="56">
        <f>Commercial8Fuel!$F19*Commercial8EndUse!$J42</f>
        <v>12260.039999999999</v>
      </c>
      <c r="C23">
        <f>'Future Type Share'!AB21*0.5*'Future EndUse Share'!AM134</f>
        <v>0</v>
      </c>
      <c r="D23">
        <f>'Future Type Share'!Z21*'Future EndUse Share'!AM134</f>
        <v>0</v>
      </c>
      <c r="E23">
        <f t="shared" si="28"/>
        <v>0</v>
      </c>
      <c r="F23">
        <v>0</v>
      </c>
      <c r="G23">
        <v>0</v>
      </c>
      <c r="I23" s="62"/>
      <c r="K23">
        <v>2020</v>
      </c>
      <c r="L23" s="56">
        <f>Commercial8Fuel!F19*Commercial8EndUse!H42</f>
        <v>28606.760000000002</v>
      </c>
      <c r="M23">
        <f>'Future Type Share'!AB21*0.5*'Future EndUse Share'!$AK$131</f>
        <v>0</v>
      </c>
      <c r="N23">
        <f>'Future Type Share'!Z21*'Future EndUse Share'!$AK$131</f>
        <v>0</v>
      </c>
      <c r="O23" s="56">
        <f t="shared" si="13"/>
        <v>0</v>
      </c>
      <c r="P23">
        <f t="shared" si="14"/>
        <v>0</v>
      </c>
      <c r="Q23">
        <f t="shared" si="15"/>
        <v>0</v>
      </c>
      <c r="S23" s="62"/>
      <c r="U23">
        <v>2020</v>
      </c>
      <c r="V23">
        <f t="shared" si="16"/>
        <v>0</v>
      </c>
      <c r="W23">
        <f t="shared" si="17"/>
        <v>0</v>
      </c>
      <c r="X23">
        <f t="shared" si="18"/>
        <v>0</v>
      </c>
      <c r="Y23">
        <f t="shared" si="19"/>
        <v>0</v>
      </c>
      <c r="Z23">
        <f t="shared" si="20"/>
        <v>0</v>
      </c>
      <c r="AA23">
        <f t="shared" si="21"/>
        <v>0</v>
      </c>
      <c r="AC23" s="62"/>
      <c r="AE23">
        <v>2020</v>
      </c>
      <c r="AF23" s="56">
        <f>'Future Type Share'!AD21*('Future EndUse Share'!$N134+'Future EndUse Share'!$P134+'Future EndUse Share'!$Q134)</f>
        <v>17368.39</v>
      </c>
      <c r="AG23" s="56">
        <f>'Future Type Share'!AB21*0.5*('Future EndUse Share'!AL134+'Future EndUse Share'!AN134+'Future EndUse Share'!AO134)</f>
        <v>249</v>
      </c>
      <c r="AH23" s="56">
        <f>'Future Type Share'!Z21*('Future EndUse Share'!$AL134+'Future EndUse Share'!$AN134+'Future EndUse Share'!$AO134)</f>
        <v>11847</v>
      </c>
      <c r="AI23" s="56">
        <f t="shared" si="22"/>
        <v>249</v>
      </c>
      <c r="AJ23">
        <f t="shared" si="23"/>
        <v>0</v>
      </c>
      <c r="AK23">
        <f t="shared" si="24"/>
        <v>0</v>
      </c>
      <c r="AM23" s="62"/>
      <c r="AO23">
        <v>2020</v>
      </c>
      <c r="AP23" s="56">
        <f>'Future Type Share'!AD21*('Future EndUse Share'!R134)</f>
        <v>42910.14</v>
      </c>
      <c r="AQ23" s="56">
        <f>'Future Type Share'!AB21*0.5*('Future EndUse Share'!AP134)</f>
        <v>0</v>
      </c>
      <c r="AR23" s="56">
        <f>'Future Type Share'!Z21*('Future EndUse Share'!AP134)</f>
        <v>0</v>
      </c>
      <c r="AS23" s="56">
        <f t="shared" si="25"/>
        <v>0</v>
      </c>
      <c r="AT23">
        <f t="shared" si="26"/>
        <v>0</v>
      </c>
      <c r="AU23">
        <f t="shared" si="27"/>
        <v>0</v>
      </c>
    </row>
    <row r="24" spans="1:47">
      <c r="A24">
        <v>2021</v>
      </c>
      <c r="B24" s="56">
        <f>Commercial8Fuel!$F20*Commercial8EndUse!$J43</f>
        <v>12868.8</v>
      </c>
      <c r="C24">
        <f>'Future Type Share'!AB22*0.5*'Future EndUse Share'!AM135</f>
        <v>0</v>
      </c>
      <c r="D24">
        <f>'Future Type Share'!Z22*'Future EndUse Share'!AM135</f>
        <v>0</v>
      </c>
      <c r="E24">
        <f t="shared" si="28"/>
        <v>0</v>
      </c>
      <c r="F24">
        <v>0</v>
      </c>
      <c r="G24">
        <v>0</v>
      </c>
      <c r="I24" s="62"/>
      <c r="K24">
        <v>2021</v>
      </c>
      <c r="L24" s="56">
        <f>Commercial8Fuel!F20*Commercial8EndUse!H43</f>
        <v>30027.200000000004</v>
      </c>
      <c r="M24">
        <f>'Future Type Share'!AB22*0.5*'Future EndUse Share'!$AK$131</f>
        <v>0</v>
      </c>
      <c r="N24">
        <f>'Future Type Share'!Z22*'Future EndUse Share'!$AK$131</f>
        <v>0</v>
      </c>
      <c r="O24" s="56">
        <f t="shared" si="13"/>
        <v>0</v>
      </c>
      <c r="P24">
        <f t="shared" si="14"/>
        <v>0</v>
      </c>
      <c r="Q24">
        <f t="shared" si="15"/>
        <v>0</v>
      </c>
      <c r="S24" s="62"/>
      <c r="U24">
        <v>2021</v>
      </c>
      <c r="V24">
        <f t="shared" si="16"/>
        <v>0</v>
      </c>
      <c r="W24">
        <f t="shared" si="17"/>
        <v>0</v>
      </c>
      <c r="X24">
        <f t="shared" si="18"/>
        <v>0</v>
      </c>
      <c r="Y24">
        <f t="shared" si="19"/>
        <v>0</v>
      </c>
      <c r="Z24">
        <f t="shared" si="20"/>
        <v>0</v>
      </c>
      <c r="AA24">
        <f t="shared" si="21"/>
        <v>0</v>
      </c>
      <c r="AC24" s="62"/>
      <c r="AE24">
        <v>2021</v>
      </c>
      <c r="AF24" s="56">
        <f>'Future Type Share'!AD22*('Future EndUse Share'!$N135+'Future EndUse Share'!$P135+'Future EndUse Share'!$Q135)</f>
        <v>19303.2</v>
      </c>
      <c r="AG24" s="56">
        <f>'Future Type Share'!AB22*0.5*('Future EndUse Share'!AL135+'Future EndUse Share'!AN135+'Future EndUse Share'!AO135)</f>
        <v>245</v>
      </c>
      <c r="AH24" s="56">
        <f>'Future Type Share'!Z22*('Future EndUse Share'!$AL135+'Future EndUse Share'!$AN135+'Future EndUse Share'!$AO135)</f>
        <v>12353</v>
      </c>
      <c r="AI24" s="56">
        <f t="shared" si="22"/>
        <v>245</v>
      </c>
      <c r="AJ24">
        <f t="shared" si="23"/>
        <v>0</v>
      </c>
      <c r="AK24">
        <f t="shared" si="24"/>
        <v>0</v>
      </c>
      <c r="AM24" s="62"/>
      <c r="AO24">
        <v>2021</v>
      </c>
      <c r="AP24" s="56">
        <f>'Future Type Share'!AD22*('Future EndUse Share'!R135)</f>
        <v>45040.799999999996</v>
      </c>
      <c r="AQ24" s="56">
        <f>'Future Type Share'!AB22*0.5*('Future EndUse Share'!AP135)</f>
        <v>0</v>
      </c>
      <c r="AR24" s="56">
        <f>'Future Type Share'!Z22*('Future EndUse Share'!AP135)</f>
        <v>0</v>
      </c>
      <c r="AS24" s="56">
        <f t="shared" si="25"/>
        <v>0</v>
      </c>
      <c r="AT24">
        <f t="shared" si="26"/>
        <v>0</v>
      </c>
      <c r="AU24">
        <f t="shared" si="27"/>
        <v>0</v>
      </c>
    </row>
    <row r="25" spans="1:47">
      <c r="A25">
        <v>2022</v>
      </c>
      <c r="B25" s="56">
        <f>'Future Type Share'!AD23*'Future EndUse Share'!O136</f>
        <v>13212.08241714528</v>
      </c>
      <c r="C25">
        <f>'Future Type Share'!AB23*0.5*'Future EndUse Share'!AM136</f>
        <v>0</v>
      </c>
      <c r="D25">
        <f>'Future Type Share'!Z23*'Future EndUse Share'!AM136</f>
        <v>0</v>
      </c>
      <c r="E25">
        <f t="shared" si="28"/>
        <v>0</v>
      </c>
      <c r="F25">
        <v>0</v>
      </c>
      <c r="G25">
        <v>0</v>
      </c>
      <c r="I25" s="62"/>
      <c r="K25">
        <v>2022</v>
      </c>
      <c r="L25" s="56">
        <f>'Future Type Share'!AD23*'Future EndUse Share'!$M136</f>
        <v>30828.192306672328</v>
      </c>
      <c r="M25">
        <f>'Future Type Share'!AB23*0.5*'Future EndUse Share'!$AK$131</f>
        <v>0</v>
      </c>
      <c r="N25">
        <f>'Future Type Share'!Z23*'Future EndUse Share'!$AK$131</f>
        <v>0</v>
      </c>
      <c r="O25" s="56">
        <f t="shared" si="13"/>
        <v>0</v>
      </c>
      <c r="P25">
        <f t="shared" si="14"/>
        <v>0</v>
      </c>
      <c r="Q25">
        <f t="shared" si="15"/>
        <v>0</v>
      </c>
      <c r="S25" s="62"/>
      <c r="U25">
        <v>2022</v>
      </c>
      <c r="V25">
        <f t="shared" si="16"/>
        <v>0</v>
      </c>
      <c r="W25">
        <f t="shared" si="17"/>
        <v>0</v>
      </c>
      <c r="X25">
        <f t="shared" si="18"/>
        <v>0</v>
      </c>
      <c r="Y25">
        <f t="shared" si="19"/>
        <v>0</v>
      </c>
      <c r="Z25">
        <f t="shared" si="20"/>
        <v>0</v>
      </c>
      <c r="AA25">
        <f t="shared" si="21"/>
        <v>0</v>
      </c>
      <c r="AC25" s="62"/>
      <c r="AE25">
        <v>2022</v>
      </c>
      <c r="AF25" s="56">
        <f>'Future Type Share'!AD23*('Future EndUse Share'!$N136+'Future EndUse Share'!$P136+'Future EndUse Share'!$Q136)</f>
        <v>19818.123625717923</v>
      </c>
      <c r="AG25" s="56">
        <f>'Future Type Share'!AB23*0.5*('Future EndUse Share'!AL136+'Future EndUse Share'!AN136+'Future EndUse Share'!AO136)</f>
        <v>0</v>
      </c>
      <c r="AH25" s="56">
        <f>'Future Type Share'!Z23*('Future EndUse Share'!$AL136+'Future EndUse Share'!$AN136+'Future EndUse Share'!$AO136)</f>
        <v>15254</v>
      </c>
      <c r="AI25" s="56">
        <f t="shared" si="22"/>
        <v>0</v>
      </c>
      <c r="AJ25">
        <f t="shared" si="23"/>
        <v>0</v>
      </c>
      <c r="AK25">
        <f t="shared" si="24"/>
        <v>0</v>
      </c>
      <c r="AM25" s="62"/>
      <c r="AO25">
        <v>2022</v>
      </c>
      <c r="AP25" s="56">
        <f>'Future Type Share'!AD23*('Future EndUse Share'!R136)</f>
        <v>46242.288460008487</v>
      </c>
      <c r="AQ25" s="56">
        <f>'Future Type Share'!AB23*0.5*('Future EndUse Share'!AP136)</f>
        <v>0</v>
      </c>
      <c r="AR25" s="56">
        <f>'Future Type Share'!Z23*('Future EndUse Share'!AP136)</f>
        <v>0</v>
      </c>
      <c r="AS25" s="56">
        <f t="shared" si="25"/>
        <v>0</v>
      </c>
      <c r="AT25">
        <f t="shared" si="26"/>
        <v>0</v>
      </c>
      <c r="AU25">
        <f t="shared" si="27"/>
        <v>0</v>
      </c>
    </row>
    <row r="26" spans="1:47">
      <c r="A26">
        <v>2023</v>
      </c>
      <c r="B26" s="56">
        <f>'Future Type Share'!AD24*'Future EndUse Share'!O137</f>
        <v>13346.228408800602</v>
      </c>
      <c r="C26">
        <f>'Future Type Share'!AB24*0.5*'Future EndUse Share'!AM137</f>
        <v>0</v>
      </c>
      <c r="D26">
        <f>'Future Type Share'!Z24*'Future EndUse Share'!AM137</f>
        <v>0</v>
      </c>
      <c r="E26">
        <f t="shared" si="28"/>
        <v>0</v>
      </c>
      <c r="F26">
        <v>0</v>
      </c>
      <c r="G26">
        <v>0</v>
      </c>
      <c r="I26" s="62"/>
      <c r="K26">
        <v>2023</v>
      </c>
      <c r="L26" s="56">
        <f>'Future Type Share'!AD24*'Future EndUse Share'!$M137</f>
        <v>31141.199620534742</v>
      </c>
      <c r="M26">
        <f>'Future Type Share'!AB24*0.5*'Future EndUse Share'!$AK$131</f>
        <v>0</v>
      </c>
      <c r="N26">
        <f>'Future Type Share'!Z24*'Future EndUse Share'!$AK$131</f>
        <v>0</v>
      </c>
      <c r="O26" s="56">
        <f t="shared" si="13"/>
        <v>0</v>
      </c>
      <c r="P26">
        <f t="shared" si="14"/>
        <v>0</v>
      </c>
      <c r="Q26">
        <f t="shared" si="15"/>
        <v>0</v>
      </c>
      <c r="S26" s="62"/>
      <c r="U26">
        <v>2023</v>
      </c>
      <c r="V26">
        <f t="shared" si="16"/>
        <v>0</v>
      </c>
      <c r="W26">
        <f t="shared" si="17"/>
        <v>0</v>
      </c>
      <c r="X26">
        <f t="shared" si="18"/>
        <v>0</v>
      </c>
      <c r="Y26">
        <f t="shared" si="19"/>
        <v>0</v>
      </c>
      <c r="Z26">
        <f t="shared" si="20"/>
        <v>0</v>
      </c>
      <c r="AA26">
        <f t="shared" si="21"/>
        <v>0</v>
      </c>
      <c r="AC26" s="62"/>
      <c r="AE26">
        <v>2023</v>
      </c>
      <c r="AF26" s="56">
        <f>'Future Type Share'!AD24*('Future EndUse Share'!$N137+'Future EndUse Share'!$P137+'Future EndUse Share'!$Q137)</f>
        <v>20019.342613200904</v>
      </c>
      <c r="AG26" s="56">
        <f>'Future Type Share'!AB24*0.5*('Future EndUse Share'!AL137+'Future EndUse Share'!AN137+'Future EndUse Share'!AO137)</f>
        <v>625.12140830156739</v>
      </c>
      <c r="AH26" s="56">
        <f>'Future Type Share'!Z24*('Future EndUse Share'!$AL137+'Future EndUse Share'!$AN137+'Future EndUse Share'!$AO137)</f>
        <v>15254</v>
      </c>
      <c r="AI26" s="56">
        <f t="shared" si="22"/>
        <v>625.12140830156739</v>
      </c>
      <c r="AJ26">
        <f t="shared" si="23"/>
        <v>0</v>
      </c>
      <c r="AK26">
        <f t="shared" si="24"/>
        <v>0</v>
      </c>
      <c r="AM26" s="62"/>
      <c r="AO26">
        <v>2023</v>
      </c>
      <c r="AP26" s="56">
        <f>'Future Type Share'!AD24*('Future EndUse Share'!R137)</f>
        <v>46711.799430802108</v>
      </c>
      <c r="AQ26" s="56">
        <f>'Future Type Share'!AB24*0.5*('Future EndUse Share'!AP137)</f>
        <v>0</v>
      </c>
      <c r="AR26" s="56">
        <f>'Future Type Share'!Z24*('Future EndUse Share'!AP137)</f>
        <v>0</v>
      </c>
      <c r="AS26" s="56">
        <f t="shared" si="25"/>
        <v>0</v>
      </c>
      <c r="AT26">
        <f t="shared" si="26"/>
        <v>0</v>
      </c>
      <c r="AU26">
        <f t="shared" si="27"/>
        <v>0</v>
      </c>
    </row>
    <row r="27" spans="1:47">
      <c r="A27">
        <v>2024</v>
      </c>
      <c r="B27" s="56">
        <f>'Future Type Share'!AD25*'Future EndUse Share'!O138</f>
        <v>13480.882373200897</v>
      </c>
      <c r="C27">
        <f>'Future Type Share'!AB25*0.5*'Future EndUse Share'!AM138</f>
        <v>0</v>
      </c>
      <c r="D27">
        <f>'Future Type Share'!Z25*'Future EndUse Share'!AM138</f>
        <v>0</v>
      </c>
      <c r="E27">
        <f t="shared" si="28"/>
        <v>0</v>
      </c>
      <c r="F27">
        <v>0</v>
      </c>
      <c r="G27">
        <v>0</v>
      </c>
      <c r="I27" s="62"/>
      <c r="K27">
        <v>2024</v>
      </c>
      <c r="L27" s="56">
        <f>'Future Type Share'!AD25*'Future EndUse Share'!$M138</f>
        <v>31455.392204135427</v>
      </c>
      <c r="M27">
        <f>'Future Type Share'!AB25*0.5*'Future EndUse Share'!$AK$131</f>
        <v>0</v>
      </c>
      <c r="N27">
        <f>'Future Type Share'!Z25*'Future EndUse Share'!$AK$131</f>
        <v>0</v>
      </c>
      <c r="O27" s="56">
        <f t="shared" si="13"/>
        <v>0</v>
      </c>
      <c r="P27">
        <f t="shared" si="14"/>
        <v>0</v>
      </c>
      <c r="Q27">
        <f t="shared" si="15"/>
        <v>0</v>
      </c>
      <c r="S27" s="62"/>
      <c r="U27">
        <v>2024</v>
      </c>
      <c r="V27">
        <f t="shared" si="16"/>
        <v>0</v>
      </c>
      <c r="W27">
        <f t="shared" si="17"/>
        <v>0</v>
      </c>
      <c r="X27">
        <f t="shared" si="18"/>
        <v>0</v>
      </c>
      <c r="Y27">
        <f t="shared" si="19"/>
        <v>0</v>
      </c>
      <c r="Z27">
        <f t="shared" si="20"/>
        <v>0</v>
      </c>
      <c r="AA27">
        <f t="shared" si="21"/>
        <v>0</v>
      </c>
      <c r="AC27" s="62"/>
      <c r="AE27">
        <v>2024</v>
      </c>
      <c r="AF27" s="56">
        <f>'Future Type Share'!AD25*('Future EndUse Share'!$N138+'Future EndUse Share'!$P138+'Future EndUse Share'!$Q138)</f>
        <v>20221.323559801345</v>
      </c>
      <c r="AG27" s="56">
        <f>'Future Type Share'!AB25*0.5*('Future EndUse Share'!AL138+'Future EndUse Share'!AN138+'Future EndUse Share'!AO138)</f>
        <v>629.84074968233836</v>
      </c>
      <c r="AH27" s="56">
        <f>'Future Type Share'!Z25*('Future EndUse Share'!$AL138+'Future EndUse Share'!$AN138+'Future EndUse Share'!$AO138)</f>
        <v>15254</v>
      </c>
      <c r="AI27" s="56">
        <f t="shared" si="22"/>
        <v>629.84074968233836</v>
      </c>
      <c r="AJ27">
        <f t="shared" si="23"/>
        <v>0</v>
      </c>
      <c r="AK27">
        <f t="shared" si="24"/>
        <v>0</v>
      </c>
      <c r="AM27" s="62"/>
      <c r="AO27">
        <v>2024</v>
      </c>
      <c r="AP27" s="56">
        <f>'Future Type Share'!AD25*('Future EndUse Share'!R138)</f>
        <v>47183.088306203135</v>
      </c>
      <c r="AQ27" s="56">
        <f>'Future Type Share'!AB25*0.5*('Future EndUse Share'!AP138)</f>
        <v>0</v>
      </c>
      <c r="AR27" s="56">
        <f>'Future Type Share'!Z25*('Future EndUse Share'!AP138)</f>
        <v>0</v>
      </c>
      <c r="AS27" s="56">
        <f t="shared" si="25"/>
        <v>0</v>
      </c>
      <c r="AT27">
        <f t="shared" si="26"/>
        <v>0</v>
      </c>
      <c r="AU27">
        <f t="shared" si="27"/>
        <v>0</v>
      </c>
    </row>
    <row r="28" spans="1:47">
      <c r="A28">
        <v>2025</v>
      </c>
      <c r="B28" s="56">
        <f>'Future Type Share'!AD26*'Future EndUse Share'!O139</f>
        <v>13554.203545108014</v>
      </c>
      <c r="C28">
        <f>'Future Type Share'!AB26*0.5*'Future EndUse Share'!AM139</f>
        <v>0</v>
      </c>
      <c r="D28">
        <f>'Future Type Share'!Z26*'Future EndUse Share'!AM139</f>
        <v>0</v>
      </c>
      <c r="E28">
        <f t="shared" si="28"/>
        <v>0</v>
      </c>
      <c r="F28">
        <v>0</v>
      </c>
      <c r="G28">
        <v>0</v>
      </c>
      <c r="I28" s="62"/>
      <c r="K28">
        <v>2025</v>
      </c>
      <c r="L28" s="56">
        <f>'Future Type Share'!AD26*'Future EndUse Share'!$M139</f>
        <v>31626.474938585372</v>
      </c>
      <c r="M28">
        <f>'Future Type Share'!AB26*0.5*'Future EndUse Share'!$AK$131</f>
        <v>0</v>
      </c>
      <c r="N28">
        <f>'Future Type Share'!Z26*'Future EndUse Share'!$AK$131</f>
        <v>0</v>
      </c>
      <c r="O28" s="56">
        <f t="shared" si="13"/>
        <v>0</v>
      </c>
      <c r="P28">
        <f t="shared" si="14"/>
        <v>0</v>
      </c>
      <c r="Q28">
        <f t="shared" si="15"/>
        <v>0</v>
      </c>
      <c r="S28" s="62"/>
      <c r="U28">
        <v>2025</v>
      </c>
      <c r="V28">
        <f t="shared" si="16"/>
        <v>0</v>
      </c>
      <c r="W28">
        <f t="shared" si="17"/>
        <v>0</v>
      </c>
      <c r="X28">
        <f t="shared" si="18"/>
        <v>0</v>
      </c>
      <c r="Y28">
        <f t="shared" si="19"/>
        <v>0</v>
      </c>
      <c r="Z28">
        <f t="shared" si="20"/>
        <v>0</v>
      </c>
      <c r="AA28">
        <f t="shared" si="21"/>
        <v>0</v>
      </c>
      <c r="AC28" s="62"/>
      <c r="AE28">
        <v>2025</v>
      </c>
      <c r="AF28" s="56">
        <f>'Future Type Share'!AD26*('Future EndUse Share'!$N139+'Future EndUse Share'!$P139+'Future EndUse Share'!$Q139)</f>
        <v>20331.305317662023</v>
      </c>
      <c r="AG28" s="56">
        <f>'Future Type Share'!AB26*0.5*('Future EndUse Share'!AL139+'Future EndUse Share'!AN139+'Future EndUse Share'!AO139)</f>
        <v>634.56009106310933</v>
      </c>
      <c r="AH28" s="56">
        <f>'Future Type Share'!Z26*('Future EndUse Share'!$AL139+'Future EndUse Share'!$AN139+'Future EndUse Share'!$AO139)</f>
        <v>15254</v>
      </c>
      <c r="AI28" s="56">
        <f t="shared" si="22"/>
        <v>634.56009106310933</v>
      </c>
      <c r="AJ28">
        <f t="shared" si="23"/>
        <v>0</v>
      </c>
      <c r="AK28">
        <f t="shared" si="24"/>
        <v>0</v>
      </c>
      <c r="AM28" s="62"/>
      <c r="AO28">
        <v>2025</v>
      </c>
      <c r="AP28" s="56">
        <f>'Future Type Share'!AD26*('Future EndUse Share'!R139)</f>
        <v>47439.712407878047</v>
      </c>
      <c r="AQ28" s="56">
        <f>'Future Type Share'!AB26*0.5*('Future EndUse Share'!AP139)</f>
        <v>0</v>
      </c>
      <c r="AR28" s="56">
        <f>'Future Type Share'!Z26*('Future EndUse Share'!AP139)</f>
        <v>0</v>
      </c>
      <c r="AS28" s="56">
        <f t="shared" si="25"/>
        <v>0</v>
      </c>
      <c r="AT28">
        <f t="shared" si="26"/>
        <v>0</v>
      </c>
      <c r="AU28">
        <f t="shared" si="27"/>
        <v>0</v>
      </c>
    </row>
    <row r="29" spans="1:47">
      <c r="A29">
        <v>2026</v>
      </c>
      <c r="B29" s="56">
        <f>'Future Type Share'!AD27*'Future EndUse Share'!O140</f>
        <v>13655.00867700128</v>
      </c>
      <c r="C29">
        <f>'Future Type Share'!AB27*0.5*'Future EndUse Share'!AM140</f>
        <v>0</v>
      </c>
      <c r="D29">
        <f>'Future Type Share'!Z27*'Future EndUse Share'!AM140</f>
        <v>0</v>
      </c>
      <c r="E29">
        <f t="shared" si="28"/>
        <v>0</v>
      </c>
      <c r="F29">
        <v>0</v>
      </c>
      <c r="G29">
        <v>0</v>
      </c>
      <c r="I29" s="62"/>
      <c r="K29">
        <v>2026</v>
      </c>
      <c r="L29" s="56">
        <f>'Future Type Share'!AD27*'Future EndUse Share'!$M140</f>
        <v>31861.686913002995</v>
      </c>
      <c r="M29">
        <f>'Future Type Share'!AB27*0.5*'Future EndUse Share'!$AK$131</f>
        <v>0</v>
      </c>
      <c r="N29">
        <f>'Future Type Share'!Z27*'Future EndUse Share'!$AK$131</f>
        <v>0</v>
      </c>
      <c r="O29" s="56">
        <f t="shared" si="13"/>
        <v>0</v>
      </c>
      <c r="P29">
        <f t="shared" si="14"/>
        <v>0</v>
      </c>
      <c r="Q29">
        <f t="shared" si="15"/>
        <v>0</v>
      </c>
      <c r="S29" s="62"/>
      <c r="U29">
        <v>2026</v>
      </c>
      <c r="V29">
        <f t="shared" si="16"/>
        <v>0</v>
      </c>
      <c r="W29">
        <f t="shared" si="17"/>
        <v>0</v>
      </c>
      <c r="X29">
        <f t="shared" si="18"/>
        <v>0</v>
      </c>
      <c r="Y29">
        <f t="shared" si="19"/>
        <v>0</v>
      </c>
      <c r="Z29">
        <f t="shared" si="20"/>
        <v>0</v>
      </c>
      <c r="AA29">
        <f t="shared" si="21"/>
        <v>0</v>
      </c>
      <c r="AC29" s="62"/>
      <c r="AE29">
        <v>2026</v>
      </c>
      <c r="AF29" s="56">
        <f>'Future Type Share'!AD27*('Future EndUse Share'!$N140+'Future EndUse Share'!$P140+'Future EndUse Share'!$Q140)</f>
        <v>20482.513015501921</v>
      </c>
      <c r="AG29" s="56">
        <f>'Future Type Share'!AB27*0.5*('Future EndUse Share'!AL140+'Future EndUse Share'!AN140+'Future EndUse Share'!AO140)</f>
        <v>639.27943244388018</v>
      </c>
      <c r="AH29" s="56">
        <f>'Future Type Share'!Z27*('Future EndUse Share'!$AL140+'Future EndUse Share'!$AN140+'Future EndUse Share'!$AO140)</f>
        <v>15254</v>
      </c>
      <c r="AI29" s="56">
        <f t="shared" si="22"/>
        <v>639.27943244388018</v>
      </c>
      <c r="AJ29">
        <f t="shared" si="23"/>
        <v>0</v>
      </c>
      <c r="AK29">
        <f t="shared" si="24"/>
        <v>0</v>
      </c>
      <c r="AM29" s="62"/>
      <c r="AO29">
        <v>2026</v>
      </c>
      <c r="AP29" s="56">
        <f>'Future Type Share'!AD27*('Future EndUse Share'!R140)</f>
        <v>47792.530369504486</v>
      </c>
      <c r="AQ29" s="56">
        <f>'Future Type Share'!AB27*0.5*('Future EndUse Share'!AP140)</f>
        <v>0</v>
      </c>
      <c r="AR29" s="56">
        <f>'Future Type Share'!Z27*('Future EndUse Share'!AP140)</f>
        <v>0</v>
      </c>
      <c r="AS29" s="56">
        <f t="shared" si="25"/>
        <v>0</v>
      </c>
      <c r="AT29">
        <f t="shared" si="26"/>
        <v>0</v>
      </c>
      <c r="AU29">
        <f t="shared" si="27"/>
        <v>0</v>
      </c>
    </row>
    <row r="30" spans="1:47">
      <c r="A30">
        <v>2027</v>
      </c>
      <c r="B30" s="56">
        <f>'Future Type Share'!AD28*'Future EndUse Share'!O141</f>
        <v>13755.813808894547</v>
      </c>
      <c r="C30">
        <f>'Future Type Share'!AB28*0.5*'Future EndUse Share'!AM141</f>
        <v>0</v>
      </c>
      <c r="D30">
        <f>'Future Type Share'!Z28*'Future EndUse Share'!AM141</f>
        <v>0</v>
      </c>
      <c r="E30">
        <f t="shared" si="28"/>
        <v>0</v>
      </c>
      <c r="F30">
        <v>0</v>
      </c>
      <c r="G30">
        <v>0</v>
      </c>
      <c r="I30" s="62"/>
      <c r="K30">
        <v>2027</v>
      </c>
      <c r="L30" s="56">
        <f>'Future Type Share'!AD28*'Future EndUse Share'!$M141</f>
        <v>32096.898887420612</v>
      </c>
      <c r="M30">
        <f>'Future Type Share'!AB28*0.5*'Future EndUse Share'!$AK$131</f>
        <v>0</v>
      </c>
      <c r="N30">
        <f>'Future Type Share'!Z28*'Future EndUse Share'!$AK$131</f>
        <v>0</v>
      </c>
      <c r="O30" s="56">
        <f t="shared" si="13"/>
        <v>0</v>
      </c>
      <c r="P30">
        <f t="shared" si="14"/>
        <v>0</v>
      </c>
      <c r="Q30">
        <f t="shared" si="15"/>
        <v>0</v>
      </c>
      <c r="S30" s="62"/>
      <c r="U30">
        <v>2027</v>
      </c>
      <c r="V30">
        <f t="shared" si="16"/>
        <v>0</v>
      </c>
      <c r="W30">
        <f t="shared" si="17"/>
        <v>0</v>
      </c>
      <c r="X30">
        <f t="shared" si="18"/>
        <v>0</v>
      </c>
      <c r="Y30">
        <f t="shared" si="19"/>
        <v>0</v>
      </c>
      <c r="Z30">
        <f t="shared" si="20"/>
        <v>0</v>
      </c>
      <c r="AA30">
        <f t="shared" si="21"/>
        <v>0</v>
      </c>
      <c r="AC30" s="62"/>
      <c r="AE30">
        <v>2027</v>
      </c>
      <c r="AF30" s="56">
        <f>'Future Type Share'!AD28*('Future EndUse Share'!$N141+'Future EndUse Share'!$P141+'Future EndUse Share'!$Q141)</f>
        <v>20633.72071334182</v>
      </c>
      <c r="AG30" s="56">
        <f>'Future Type Share'!AB28*0.5*('Future EndUse Share'!AL141+'Future EndUse Share'!AN141+'Future EndUse Share'!AO141)</f>
        <v>643.99877382465104</v>
      </c>
      <c r="AH30" s="56">
        <f>'Future Type Share'!Z28*('Future EndUse Share'!$AL141+'Future EndUse Share'!$AN141+'Future EndUse Share'!$AO141)</f>
        <v>15254</v>
      </c>
      <c r="AI30" s="56">
        <f t="shared" si="22"/>
        <v>643.99877382465104</v>
      </c>
      <c r="AJ30">
        <f t="shared" si="23"/>
        <v>0</v>
      </c>
      <c r="AK30">
        <f t="shared" si="24"/>
        <v>0</v>
      </c>
      <c r="AM30" s="62"/>
      <c r="AO30">
        <v>2027</v>
      </c>
      <c r="AP30" s="56">
        <f>'Future Type Share'!AD28*('Future EndUse Share'!R141)</f>
        <v>48145.34833113091</v>
      </c>
      <c r="AQ30" s="56">
        <f>'Future Type Share'!AB28*0.5*('Future EndUse Share'!AP141)</f>
        <v>0</v>
      </c>
      <c r="AR30" s="56">
        <f>'Future Type Share'!Z28*('Future EndUse Share'!AP141)</f>
        <v>0</v>
      </c>
      <c r="AS30" s="56">
        <f t="shared" si="25"/>
        <v>0</v>
      </c>
      <c r="AT30">
        <f t="shared" si="26"/>
        <v>0</v>
      </c>
      <c r="AU30">
        <f t="shared" si="27"/>
        <v>0</v>
      </c>
    </row>
    <row r="31" spans="1:47">
      <c r="A31">
        <v>2028</v>
      </c>
      <c r="B31" s="56">
        <f>'Future Type Share'!AD29*'Future EndUse Share'!O142</f>
        <v>13856.618940787816</v>
      </c>
      <c r="C31">
        <f>'Future Type Share'!AB29*0.5*'Future EndUse Share'!AM142</f>
        <v>0</v>
      </c>
      <c r="D31">
        <f>'Future Type Share'!Z29*'Future EndUse Share'!AM142</f>
        <v>0</v>
      </c>
      <c r="E31">
        <f t="shared" si="28"/>
        <v>0</v>
      </c>
      <c r="F31">
        <v>0</v>
      </c>
      <c r="G31">
        <v>0</v>
      </c>
      <c r="I31" s="62"/>
      <c r="K31">
        <v>2028</v>
      </c>
      <c r="L31" s="56">
        <f>'Future Type Share'!AD29*'Future EndUse Share'!$M142</f>
        <v>32332.110861838239</v>
      </c>
      <c r="M31">
        <f>'Future Type Share'!AB29*0.5*'Future EndUse Share'!$AK$131</f>
        <v>0</v>
      </c>
      <c r="N31">
        <f>'Future Type Share'!Z29*'Future EndUse Share'!$AK$131</f>
        <v>0</v>
      </c>
      <c r="O31" s="56">
        <f t="shared" si="13"/>
        <v>0</v>
      </c>
      <c r="P31">
        <f t="shared" si="14"/>
        <v>0</v>
      </c>
      <c r="Q31">
        <f t="shared" si="15"/>
        <v>0</v>
      </c>
      <c r="S31" s="62"/>
      <c r="U31">
        <v>2028</v>
      </c>
      <c r="V31">
        <f t="shared" si="16"/>
        <v>0</v>
      </c>
      <c r="W31">
        <f t="shared" si="17"/>
        <v>0</v>
      </c>
      <c r="X31">
        <f t="shared" si="18"/>
        <v>0</v>
      </c>
      <c r="Y31">
        <f t="shared" si="19"/>
        <v>0</v>
      </c>
      <c r="Z31">
        <f t="shared" si="20"/>
        <v>0</v>
      </c>
      <c r="AA31">
        <f t="shared" si="21"/>
        <v>0</v>
      </c>
      <c r="AC31" s="62"/>
      <c r="AE31">
        <v>2028</v>
      </c>
      <c r="AF31" s="56">
        <f>'Future Type Share'!AD29*('Future EndUse Share'!$N142+'Future EndUse Share'!$P142+'Future EndUse Share'!$Q142)</f>
        <v>20784.928411181721</v>
      </c>
      <c r="AG31" s="56">
        <f>'Future Type Share'!AB29*0.5*('Future EndUse Share'!AL142+'Future EndUse Share'!AN142+'Future EndUse Share'!AO142)</f>
        <v>648.71811520542212</v>
      </c>
      <c r="AH31" s="56">
        <f>'Future Type Share'!Z29*('Future EndUse Share'!$AL142+'Future EndUse Share'!$AN142+'Future EndUse Share'!$AO142)</f>
        <v>15254</v>
      </c>
      <c r="AI31" s="56">
        <f t="shared" si="22"/>
        <v>648.71811520542212</v>
      </c>
      <c r="AJ31">
        <f t="shared" si="23"/>
        <v>0</v>
      </c>
      <c r="AK31">
        <f t="shared" si="24"/>
        <v>0</v>
      </c>
      <c r="AM31" s="62"/>
      <c r="AO31">
        <v>2028</v>
      </c>
      <c r="AP31" s="56">
        <f>'Future Type Share'!AD29*('Future EndUse Share'!R142)</f>
        <v>48498.166292757349</v>
      </c>
      <c r="AQ31" s="56">
        <f>'Future Type Share'!AB29*0.5*('Future EndUse Share'!AP142)</f>
        <v>0</v>
      </c>
      <c r="AR31" s="56">
        <f>'Future Type Share'!Z29*('Future EndUse Share'!AP142)</f>
        <v>0</v>
      </c>
      <c r="AS31" s="56">
        <f t="shared" si="25"/>
        <v>0</v>
      </c>
      <c r="AT31">
        <f t="shared" si="26"/>
        <v>0</v>
      </c>
      <c r="AU31">
        <f t="shared" si="27"/>
        <v>0</v>
      </c>
    </row>
    <row r="32" spans="1:47">
      <c r="A32">
        <v>2029</v>
      </c>
      <c r="B32" s="56">
        <f>'Future Type Share'!AD30*'Future EndUse Share'!O143</f>
        <v>13957.424072681082</v>
      </c>
      <c r="C32">
        <f>'Future Type Share'!AB30*0.5*'Future EndUse Share'!AM143</f>
        <v>0</v>
      </c>
      <c r="D32">
        <f>'Future Type Share'!Z30*'Future EndUse Share'!AM143</f>
        <v>0</v>
      </c>
      <c r="E32">
        <f t="shared" si="28"/>
        <v>0</v>
      </c>
      <c r="F32">
        <v>0</v>
      </c>
      <c r="G32">
        <v>0</v>
      </c>
      <c r="I32" s="62"/>
      <c r="K32">
        <v>2029</v>
      </c>
      <c r="L32" s="56">
        <f>'Future Type Share'!AD30*'Future EndUse Share'!$M143</f>
        <v>32567.322836255862</v>
      </c>
      <c r="M32">
        <f>'Future Type Share'!AB30*0.5*'Future EndUse Share'!$AK$131</f>
        <v>0</v>
      </c>
      <c r="N32">
        <f>'Future Type Share'!Z30*'Future EndUse Share'!$AK$131</f>
        <v>0</v>
      </c>
      <c r="O32" s="56">
        <f t="shared" si="13"/>
        <v>0</v>
      </c>
      <c r="P32">
        <f t="shared" si="14"/>
        <v>0</v>
      </c>
      <c r="Q32">
        <f t="shared" si="15"/>
        <v>0</v>
      </c>
      <c r="S32" s="62"/>
      <c r="U32">
        <v>2029</v>
      </c>
      <c r="V32">
        <f t="shared" si="16"/>
        <v>0</v>
      </c>
      <c r="W32">
        <f t="shared" si="17"/>
        <v>0</v>
      </c>
      <c r="X32">
        <f t="shared" si="18"/>
        <v>0</v>
      </c>
      <c r="Y32">
        <f t="shared" si="19"/>
        <v>0</v>
      </c>
      <c r="Z32">
        <f t="shared" si="20"/>
        <v>0</v>
      </c>
      <c r="AA32">
        <f t="shared" si="21"/>
        <v>0</v>
      </c>
      <c r="AC32" s="62"/>
      <c r="AE32">
        <v>2029</v>
      </c>
      <c r="AF32" s="56">
        <f>'Future Type Share'!AD30*('Future EndUse Share'!$N143+'Future EndUse Share'!$P143+'Future EndUse Share'!$Q143)</f>
        <v>20936.136109021623</v>
      </c>
      <c r="AG32" s="56">
        <f>'Future Type Share'!AB30*0.5*('Future EndUse Share'!AL143+'Future EndUse Share'!AN143+'Future EndUse Share'!AO143)</f>
        <v>653.43745658619298</v>
      </c>
      <c r="AH32" s="56">
        <f>'Future Type Share'!Z30*('Future EndUse Share'!$AL143+'Future EndUse Share'!$AN143+'Future EndUse Share'!$AO143)</f>
        <v>15254</v>
      </c>
      <c r="AI32" s="56">
        <f t="shared" si="22"/>
        <v>653.43745658619298</v>
      </c>
      <c r="AJ32">
        <f t="shared" si="23"/>
        <v>0</v>
      </c>
      <c r="AK32">
        <f t="shared" si="24"/>
        <v>0</v>
      </c>
      <c r="AM32" s="62"/>
      <c r="AO32">
        <v>2029</v>
      </c>
      <c r="AP32" s="56">
        <f>'Future Type Share'!AD30*('Future EndUse Share'!R143)</f>
        <v>48850.984254383788</v>
      </c>
      <c r="AQ32" s="56">
        <f>'Future Type Share'!AB30*0.5*('Future EndUse Share'!AP143)</f>
        <v>0</v>
      </c>
      <c r="AR32" s="56">
        <f>'Future Type Share'!Z30*('Future EndUse Share'!AP143)</f>
        <v>0</v>
      </c>
      <c r="AS32" s="56">
        <f t="shared" si="25"/>
        <v>0</v>
      </c>
      <c r="AT32">
        <f t="shared" si="26"/>
        <v>0</v>
      </c>
      <c r="AU32">
        <f t="shared" si="27"/>
        <v>0</v>
      </c>
    </row>
    <row r="33" spans="1:47">
      <c r="A33">
        <v>2030</v>
      </c>
      <c r="B33" s="56">
        <f>'Future Type Share'!AD31*'Future EndUse Share'!O144</f>
        <v>14058.229204574349</v>
      </c>
      <c r="C33">
        <f>'Future Type Share'!AB31*0.5*'Future EndUse Share'!AM144</f>
        <v>0</v>
      </c>
      <c r="D33">
        <f>'Future Type Share'!Z31*'Future EndUse Share'!AM144</f>
        <v>0</v>
      </c>
      <c r="E33">
        <f t="shared" si="28"/>
        <v>0</v>
      </c>
      <c r="F33">
        <v>0</v>
      </c>
      <c r="G33">
        <v>0</v>
      </c>
      <c r="I33" s="62"/>
      <c r="K33">
        <v>2030</v>
      </c>
      <c r="L33" s="56">
        <f>'Future Type Share'!AD31*'Future EndUse Share'!$M144</f>
        <v>32802.534810673482</v>
      </c>
      <c r="M33">
        <f>'Future Type Share'!AB31*0.5*'Future EndUse Share'!$AK$131</f>
        <v>0</v>
      </c>
      <c r="N33">
        <f>'Future Type Share'!Z31*'Future EndUse Share'!$AK$131</f>
        <v>0</v>
      </c>
      <c r="O33" s="56">
        <f t="shared" si="13"/>
        <v>0</v>
      </c>
      <c r="P33">
        <f t="shared" si="14"/>
        <v>0</v>
      </c>
      <c r="Q33">
        <f t="shared" si="15"/>
        <v>0</v>
      </c>
      <c r="S33" s="62"/>
      <c r="U33">
        <v>2030</v>
      </c>
      <c r="V33">
        <f t="shared" si="16"/>
        <v>0</v>
      </c>
      <c r="W33">
        <f t="shared" si="17"/>
        <v>0</v>
      </c>
      <c r="X33">
        <f t="shared" si="18"/>
        <v>0</v>
      </c>
      <c r="Y33">
        <f t="shared" si="19"/>
        <v>0</v>
      </c>
      <c r="Z33">
        <f t="shared" si="20"/>
        <v>0</v>
      </c>
      <c r="AA33">
        <f t="shared" si="21"/>
        <v>0</v>
      </c>
      <c r="AC33" s="62"/>
      <c r="AE33">
        <v>2030</v>
      </c>
      <c r="AF33" s="56">
        <f>'Future Type Share'!AD31*('Future EndUse Share'!$N144+'Future EndUse Share'!$P144+'Future EndUse Share'!$Q144)</f>
        <v>21087.343806861521</v>
      </c>
      <c r="AG33" s="56">
        <f>'Future Type Share'!AB31*0.5*('Future EndUse Share'!AL144+'Future EndUse Share'!AN144+'Future EndUse Share'!AO144)</f>
        <v>658.15679796696395</v>
      </c>
      <c r="AH33" s="56">
        <f>'Future Type Share'!Z31*('Future EndUse Share'!$AL144+'Future EndUse Share'!$AN144+'Future EndUse Share'!$AO144)</f>
        <v>15254</v>
      </c>
      <c r="AI33" s="56">
        <f t="shared" si="22"/>
        <v>658.15679796696395</v>
      </c>
      <c r="AJ33">
        <f t="shared" si="23"/>
        <v>0</v>
      </c>
      <c r="AK33">
        <f t="shared" si="24"/>
        <v>0</v>
      </c>
      <c r="AM33" s="62"/>
      <c r="AO33">
        <v>2030</v>
      </c>
      <c r="AP33" s="56">
        <f>'Future Type Share'!AD31*('Future EndUse Share'!R144)</f>
        <v>49203.802216010219</v>
      </c>
      <c r="AQ33" s="56">
        <f>'Future Type Share'!AB31*0.5*('Future EndUse Share'!AP144)</f>
        <v>0</v>
      </c>
      <c r="AR33" s="56">
        <f>'Future Type Share'!Z31*('Future EndUse Share'!AP144)</f>
        <v>0</v>
      </c>
      <c r="AS33" s="56">
        <f t="shared" si="25"/>
        <v>0</v>
      </c>
      <c r="AT33">
        <f t="shared" si="26"/>
        <v>0</v>
      </c>
      <c r="AU33">
        <f t="shared" si="27"/>
        <v>0</v>
      </c>
    </row>
    <row r="34" spans="1:47">
      <c r="A34">
        <v>2031</v>
      </c>
      <c r="B34" s="56">
        <f>'Future Type Share'!AD32*'Future EndUse Share'!O145</f>
        <v>14159.034336467614</v>
      </c>
      <c r="C34">
        <f>'Future Type Share'!AB32*0.5*'Future EndUse Share'!AM145</f>
        <v>0</v>
      </c>
      <c r="D34">
        <f>'Future Type Share'!Z32*'Future EndUse Share'!AM145</f>
        <v>0</v>
      </c>
      <c r="E34">
        <f t="shared" si="28"/>
        <v>0</v>
      </c>
      <c r="F34">
        <v>0</v>
      </c>
      <c r="G34">
        <v>0</v>
      </c>
      <c r="I34" s="62"/>
      <c r="K34">
        <v>2031</v>
      </c>
      <c r="L34" s="56">
        <f>'Future Type Share'!AD32*'Future EndUse Share'!$M145</f>
        <v>33037.746785091105</v>
      </c>
      <c r="M34">
        <f>'Future Type Share'!AB32*0.5*'Future EndUse Share'!$AK$131</f>
        <v>0</v>
      </c>
      <c r="N34">
        <f>'Future Type Share'!Z32*'Future EndUse Share'!$AK$131</f>
        <v>0</v>
      </c>
      <c r="O34" s="56">
        <f t="shared" si="13"/>
        <v>0</v>
      </c>
      <c r="P34">
        <f t="shared" si="14"/>
        <v>0</v>
      </c>
      <c r="Q34">
        <f t="shared" si="15"/>
        <v>0</v>
      </c>
      <c r="S34" s="62"/>
      <c r="U34">
        <v>2031</v>
      </c>
      <c r="V34">
        <f t="shared" si="16"/>
        <v>0</v>
      </c>
      <c r="W34">
        <f t="shared" si="17"/>
        <v>0</v>
      </c>
      <c r="X34">
        <f t="shared" si="18"/>
        <v>0</v>
      </c>
      <c r="Y34">
        <f t="shared" si="19"/>
        <v>0</v>
      </c>
      <c r="Z34">
        <f t="shared" si="20"/>
        <v>0</v>
      </c>
      <c r="AA34">
        <f t="shared" si="21"/>
        <v>0</v>
      </c>
      <c r="AC34" s="62"/>
      <c r="AE34">
        <v>2031</v>
      </c>
      <c r="AF34" s="56">
        <f>'Future Type Share'!AD32*('Future EndUse Share'!$N145+'Future EndUse Share'!$P145+'Future EndUse Share'!$Q145)</f>
        <v>21238.55150470142</v>
      </c>
      <c r="AG34" s="56">
        <f>'Future Type Share'!AB32*0.5*('Future EndUse Share'!AL145+'Future EndUse Share'!AN145+'Future EndUse Share'!AO145)</f>
        <v>662.87613934773469</v>
      </c>
      <c r="AH34" s="56">
        <f>'Future Type Share'!Z32*('Future EndUse Share'!$AL145+'Future EndUse Share'!$AN145+'Future EndUse Share'!$AO145)</f>
        <v>15254</v>
      </c>
      <c r="AI34" s="56">
        <f t="shared" si="22"/>
        <v>662.87613934773469</v>
      </c>
      <c r="AJ34">
        <f t="shared" si="23"/>
        <v>0</v>
      </c>
      <c r="AK34">
        <f t="shared" si="24"/>
        <v>0</v>
      </c>
      <c r="AM34" s="62"/>
      <c r="AO34">
        <v>2031</v>
      </c>
      <c r="AP34" s="56">
        <f>'Future Type Share'!AD32*('Future EndUse Share'!R145)</f>
        <v>49556.620177636651</v>
      </c>
      <c r="AQ34" s="56">
        <f>'Future Type Share'!AB32*0.5*('Future EndUse Share'!AP145)</f>
        <v>0</v>
      </c>
      <c r="AR34" s="56">
        <f>'Future Type Share'!Z32*('Future EndUse Share'!AP145)</f>
        <v>0</v>
      </c>
      <c r="AS34" s="56">
        <f t="shared" si="25"/>
        <v>0</v>
      </c>
      <c r="AT34">
        <f t="shared" si="26"/>
        <v>0</v>
      </c>
      <c r="AU34">
        <f t="shared" si="27"/>
        <v>0</v>
      </c>
    </row>
    <row r="35" spans="1:47">
      <c r="A35">
        <v>2032</v>
      </c>
      <c r="B35" s="56">
        <f>'Future Type Share'!AD33*'Future EndUse Share'!O146</f>
        <v>14259.839468360884</v>
      </c>
      <c r="C35">
        <f>'Future Type Share'!AB33*0.5*'Future EndUse Share'!AM146</f>
        <v>0</v>
      </c>
      <c r="D35">
        <f>'Future Type Share'!Z33*'Future EndUse Share'!AM146</f>
        <v>0</v>
      </c>
      <c r="E35">
        <f t="shared" si="28"/>
        <v>0</v>
      </c>
      <c r="F35">
        <v>0</v>
      </c>
      <c r="G35">
        <v>0</v>
      </c>
      <c r="I35" s="62"/>
      <c r="K35">
        <v>2032</v>
      </c>
      <c r="L35" s="56">
        <f>'Future Type Share'!AD33*'Future EndUse Share'!$M146</f>
        <v>33272.958759508736</v>
      </c>
      <c r="M35">
        <f>'Future Type Share'!AB33*0.5*'Future EndUse Share'!$AK$131</f>
        <v>0</v>
      </c>
      <c r="N35">
        <f>'Future Type Share'!Z33*'Future EndUse Share'!$AK$131</f>
        <v>0</v>
      </c>
      <c r="O35" s="56">
        <f t="shared" si="13"/>
        <v>0</v>
      </c>
      <c r="P35">
        <f t="shared" si="14"/>
        <v>0</v>
      </c>
      <c r="Q35">
        <f t="shared" si="15"/>
        <v>0</v>
      </c>
      <c r="S35" s="62"/>
      <c r="U35">
        <v>2032</v>
      </c>
      <c r="V35">
        <f t="shared" si="16"/>
        <v>0</v>
      </c>
      <c r="W35">
        <f t="shared" si="17"/>
        <v>0</v>
      </c>
      <c r="X35">
        <f t="shared" si="18"/>
        <v>0</v>
      </c>
      <c r="Y35">
        <f t="shared" si="19"/>
        <v>0</v>
      </c>
      <c r="Z35">
        <f t="shared" si="20"/>
        <v>0</v>
      </c>
      <c r="AA35">
        <f t="shared" si="21"/>
        <v>0</v>
      </c>
      <c r="AC35" s="62"/>
      <c r="AE35">
        <v>2032</v>
      </c>
      <c r="AF35" s="56">
        <f>'Future Type Share'!AD33*('Future EndUse Share'!$N146+'Future EndUse Share'!$P146+'Future EndUse Share'!$Q146)</f>
        <v>21389.759202541325</v>
      </c>
      <c r="AG35" s="56">
        <f>'Future Type Share'!AB33*0.5*('Future EndUse Share'!AL146+'Future EndUse Share'!AN146+'Future EndUse Share'!AO146)</f>
        <v>667.59548072850578</v>
      </c>
      <c r="AH35" s="56">
        <f>'Future Type Share'!Z33*('Future EndUse Share'!$AL146+'Future EndUse Share'!$AN146+'Future EndUse Share'!$AO146)</f>
        <v>15254</v>
      </c>
      <c r="AI35" s="56">
        <f t="shared" si="22"/>
        <v>667.59548072850578</v>
      </c>
      <c r="AJ35">
        <f t="shared" si="23"/>
        <v>0</v>
      </c>
      <c r="AK35">
        <f t="shared" si="24"/>
        <v>0</v>
      </c>
      <c r="AM35" s="62"/>
      <c r="AO35">
        <v>2032</v>
      </c>
      <c r="AP35" s="56">
        <f>'Future Type Share'!AD33*('Future EndUse Share'!R146)</f>
        <v>49909.438139263097</v>
      </c>
      <c r="AQ35" s="56">
        <f>'Future Type Share'!AB33*0.5*('Future EndUse Share'!AP146)</f>
        <v>0</v>
      </c>
      <c r="AR35" s="56">
        <f>'Future Type Share'!Z33*('Future EndUse Share'!AP146)</f>
        <v>0</v>
      </c>
      <c r="AS35" s="56">
        <f t="shared" si="25"/>
        <v>0</v>
      </c>
      <c r="AT35">
        <f t="shared" si="26"/>
        <v>0</v>
      </c>
      <c r="AU35">
        <f t="shared" si="27"/>
        <v>0</v>
      </c>
    </row>
    <row r="36" spans="1:47">
      <c r="A36">
        <v>2033</v>
      </c>
      <c r="B36" s="56">
        <f>'Future Type Share'!AD34*'Future EndUse Share'!O147</f>
        <v>14360.644600254151</v>
      </c>
      <c r="C36">
        <f>'Future Type Share'!AB34*0.5*'Future EndUse Share'!AM147</f>
        <v>0</v>
      </c>
      <c r="D36">
        <f>'Future Type Share'!Z34*'Future EndUse Share'!AM147</f>
        <v>0</v>
      </c>
      <c r="E36">
        <f t="shared" si="28"/>
        <v>0</v>
      </c>
      <c r="F36">
        <v>0</v>
      </c>
      <c r="G36">
        <v>0</v>
      </c>
      <c r="I36" s="62"/>
      <c r="K36">
        <v>2033</v>
      </c>
      <c r="L36" s="56">
        <f>'Future Type Share'!AD34*'Future EndUse Share'!$M147</f>
        <v>33508.170733926359</v>
      </c>
      <c r="M36">
        <f>'Future Type Share'!AB34*0.5*'Future EndUse Share'!$AK$131</f>
        <v>0</v>
      </c>
      <c r="N36">
        <f>'Future Type Share'!Z34*'Future EndUse Share'!$AK$131</f>
        <v>0</v>
      </c>
      <c r="O36" s="56">
        <f t="shared" si="13"/>
        <v>0</v>
      </c>
      <c r="P36">
        <f t="shared" si="14"/>
        <v>0</v>
      </c>
      <c r="Q36">
        <f t="shared" si="15"/>
        <v>0</v>
      </c>
      <c r="S36" s="62"/>
      <c r="U36">
        <v>2033</v>
      </c>
      <c r="V36">
        <f t="shared" si="16"/>
        <v>0</v>
      </c>
      <c r="W36">
        <f t="shared" si="17"/>
        <v>0</v>
      </c>
      <c r="X36">
        <f t="shared" si="18"/>
        <v>0</v>
      </c>
      <c r="Y36">
        <f t="shared" si="19"/>
        <v>0</v>
      </c>
      <c r="Z36">
        <f t="shared" si="20"/>
        <v>0</v>
      </c>
      <c r="AA36">
        <f t="shared" si="21"/>
        <v>0</v>
      </c>
      <c r="AC36" s="62"/>
      <c r="AE36">
        <v>2033</v>
      </c>
      <c r="AF36" s="56">
        <f>'Future Type Share'!AD34*('Future EndUse Share'!$N147+'Future EndUse Share'!$P147+'Future EndUse Share'!$Q147)</f>
        <v>21540.966900381227</v>
      </c>
      <c r="AG36" s="56">
        <f>'Future Type Share'!AB34*0.5*('Future EndUse Share'!AL147+'Future EndUse Share'!AN147+'Future EndUse Share'!AO147)</f>
        <v>672.31482210927675</v>
      </c>
      <c r="AH36" s="56">
        <f>'Future Type Share'!Z34*('Future EndUse Share'!$AL147+'Future EndUse Share'!$AN147+'Future EndUse Share'!$AO147)</f>
        <v>15254</v>
      </c>
      <c r="AI36" s="56">
        <f t="shared" si="22"/>
        <v>672.31482210927675</v>
      </c>
      <c r="AJ36">
        <f t="shared" si="23"/>
        <v>0</v>
      </c>
      <c r="AK36">
        <f t="shared" si="24"/>
        <v>0</v>
      </c>
      <c r="AM36" s="62"/>
      <c r="AO36">
        <v>2033</v>
      </c>
      <c r="AP36" s="56">
        <f>'Future Type Share'!AD34*('Future EndUse Share'!R147)</f>
        <v>50262.256100889528</v>
      </c>
      <c r="AQ36" s="56">
        <f>'Future Type Share'!AB34*0.5*('Future EndUse Share'!AP147)</f>
        <v>0</v>
      </c>
      <c r="AR36" s="56">
        <f>'Future Type Share'!Z34*('Future EndUse Share'!AP147)</f>
        <v>0</v>
      </c>
      <c r="AS36" s="56">
        <f t="shared" si="25"/>
        <v>0</v>
      </c>
      <c r="AT36">
        <f t="shared" si="26"/>
        <v>0</v>
      </c>
      <c r="AU36">
        <f t="shared" si="27"/>
        <v>0</v>
      </c>
    </row>
    <row r="37" spans="1:47">
      <c r="A37">
        <v>2034</v>
      </c>
      <c r="B37" s="56">
        <f>'Future Type Share'!AD35*'Future EndUse Share'!O148</f>
        <v>14461.449732147414</v>
      </c>
      <c r="C37">
        <f>'Future Type Share'!AB35*0.5*'Future EndUse Share'!AM148</f>
        <v>0</v>
      </c>
      <c r="D37">
        <f>'Future Type Share'!Z35*'Future EndUse Share'!AM148</f>
        <v>0</v>
      </c>
      <c r="E37">
        <f t="shared" si="28"/>
        <v>0</v>
      </c>
      <c r="F37">
        <v>0</v>
      </c>
      <c r="G37">
        <v>0</v>
      </c>
      <c r="I37" s="62"/>
      <c r="K37">
        <v>2034</v>
      </c>
      <c r="L37" s="56">
        <f>'Future Type Share'!AD35*'Future EndUse Share'!$M148</f>
        <v>33743.382708343968</v>
      </c>
      <c r="M37">
        <f>'Future Type Share'!AB35*0.5*'Future EndUse Share'!$AK$131</f>
        <v>0</v>
      </c>
      <c r="N37">
        <f>'Future Type Share'!Z35*'Future EndUse Share'!$AK$131</f>
        <v>0</v>
      </c>
      <c r="O37" s="56">
        <f t="shared" si="13"/>
        <v>0</v>
      </c>
      <c r="P37">
        <f t="shared" si="14"/>
        <v>0</v>
      </c>
      <c r="Q37">
        <f t="shared" si="15"/>
        <v>0</v>
      </c>
      <c r="S37" s="62"/>
      <c r="U37">
        <v>2034</v>
      </c>
      <c r="V37">
        <f t="shared" si="16"/>
        <v>0</v>
      </c>
      <c r="W37">
        <f t="shared" si="17"/>
        <v>0</v>
      </c>
      <c r="X37">
        <f t="shared" si="18"/>
        <v>0</v>
      </c>
      <c r="Y37">
        <f t="shared" si="19"/>
        <v>0</v>
      </c>
      <c r="Z37">
        <f t="shared" si="20"/>
        <v>0</v>
      </c>
      <c r="AA37">
        <f t="shared" si="21"/>
        <v>0</v>
      </c>
      <c r="AC37" s="62"/>
      <c r="AE37">
        <v>2034</v>
      </c>
      <c r="AF37" s="56">
        <f>'Future Type Share'!AD35*('Future EndUse Share'!$N148+'Future EndUse Share'!$P148+'Future EndUse Share'!$Q148)</f>
        <v>21692.174598221121</v>
      </c>
      <c r="AG37" s="56">
        <f>'Future Type Share'!AB35*0.5*('Future EndUse Share'!AL148+'Future EndUse Share'!AN148+'Future EndUse Share'!AO148)</f>
        <v>677.03416349004749</v>
      </c>
      <c r="AH37" s="56">
        <f>'Future Type Share'!Z35*('Future EndUse Share'!$AL148+'Future EndUse Share'!$AN148+'Future EndUse Share'!$AO148)</f>
        <v>15254</v>
      </c>
      <c r="AI37" s="56">
        <f t="shared" si="22"/>
        <v>677.03416349004749</v>
      </c>
      <c r="AJ37">
        <f t="shared" si="23"/>
        <v>0</v>
      </c>
      <c r="AK37">
        <f t="shared" si="24"/>
        <v>0</v>
      </c>
      <c r="AM37" s="62"/>
      <c r="AO37">
        <v>2034</v>
      </c>
      <c r="AP37" s="56">
        <f>'Future Type Share'!AD35*('Future EndUse Share'!R148)</f>
        <v>50615.074062515952</v>
      </c>
      <c r="AQ37" s="56">
        <f>'Future Type Share'!AB35*0.5*('Future EndUse Share'!AP148)</f>
        <v>0</v>
      </c>
      <c r="AR37" s="56">
        <f>'Future Type Share'!Z35*('Future EndUse Share'!AP148)</f>
        <v>0</v>
      </c>
      <c r="AS37" s="56">
        <f t="shared" si="25"/>
        <v>0</v>
      </c>
      <c r="AT37">
        <f t="shared" si="26"/>
        <v>0</v>
      </c>
      <c r="AU37">
        <f t="shared" si="27"/>
        <v>0</v>
      </c>
    </row>
    <row r="38" spans="1:47">
      <c r="A38">
        <v>2035</v>
      </c>
      <c r="B38" s="56">
        <f>'Future Type Share'!AD36*'Future EndUse Share'!O149</f>
        <v>14562.25486404068</v>
      </c>
      <c r="C38">
        <f>'Future Type Share'!AB36*0.5*'Future EndUse Share'!AM149</f>
        <v>0</v>
      </c>
      <c r="D38">
        <f>'Future Type Share'!Z36*'Future EndUse Share'!AM149</f>
        <v>0</v>
      </c>
      <c r="E38">
        <f t="shared" si="28"/>
        <v>0</v>
      </c>
      <c r="F38">
        <v>0</v>
      </c>
      <c r="G38">
        <v>0</v>
      </c>
      <c r="I38" s="62"/>
      <c r="K38">
        <v>2035</v>
      </c>
      <c r="L38" s="56">
        <f>'Future Type Share'!AD36*'Future EndUse Share'!$M149</f>
        <v>33978.594682761592</v>
      </c>
      <c r="M38">
        <f>'Future Type Share'!AB36*0.5*'Future EndUse Share'!$AK$131</f>
        <v>0</v>
      </c>
      <c r="N38">
        <f>'Future Type Share'!Z36*'Future EndUse Share'!$AK$131</f>
        <v>0</v>
      </c>
      <c r="O38" s="56">
        <f t="shared" si="13"/>
        <v>0</v>
      </c>
      <c r="P38">
        <f t="shared" si="14"/>
        <v>0</v>
      </c>
      <c r="Q38">
        <f t="shared" si="15"/>
        <v>0</v>
      </c>
      <c r="S38" s="62"/>
      <c r="U38">
        <v>2035</v>
      </c>
      <c r="V38">
        <f t="shared" si="16"/>
        <v>0</v>
      </c>
      <c r="W38">
        <f t="shared" si="17"/>
        <v>0</v>
      </c>
      <c r="X38">
        <f t="shared" si="18"/>
        <v>0</v>
      </c>
      <c r="Y38">
        <f t="shared" si="19"/>
        <v>0</v>
      </c>
      <c r="Z38">
        <f t="shared" si="20"/>
        <v>0</v>
      </c>
      <c r="AA38">
        <f t="shared" si="21"/>
        <v>0</v>
      </c>
      <c r="AC38" s="62"/>
      <c r="AE38">
        <v>2035</v>
      </c>
      <c r="AF38" s="56">
        <f>'Future Type Share'!AD36*('Future EndUse Share'!$N149+'Future EndUse Share'!$P149+'Future EndUse Share'!$Q149)</f>
        <v>21843.38229606102</v>
      </c>
      <c r="AG38" s="56">
        <f>'Future Type Share'!AB36*0.5*('Future EndUse Share'!AL149+'Future EndUse Share'!AN149+'Future EndUse Share'!AO149)</f>
        <v>681.75350487081846</v>
      </c>
      <c r="AH38" s="56">
        <f>'Future Type Share'!Z36*('Future EndUse Share'!$AL149+'Future EndUse Share'!$AN149+'Future EndUse Share'!$AO149)</f>
        <v>15254</v>
      </c>
      <c r="AI38" s="56">
        <f t="shared" si="22"/>
        <v>681.75350487081846</v>
      </c>
      <c r="AJ38">
        <f t="shared" si="23"/>
        <v>0</v>
      </c>
      <c r="AK38">
        <f t="shared" si="24"/>
        <v>0</v>
      </c>
      <c r="AM38" s="62"/>
      <c r="AO38">
        <v>2035</v>
      </c>
      <c r="AP38" s="56">
        <f>'Future Type Share'!AD36*('Future EndUse Share'!R149)</f>
        <v>50967.892024142384</v>
      </c>
      <c r="AQ38" s="56">
        <f>'Future Type Share'!AB36*0.5*('Future EndUse Share'!AP149)</f>
        <v>0</v>
      </c>
      <c r="AR38" s="56">
        <f>'Future Type Share'!Z36*('Future EndUse Share'!AP149)</f>
        <v>0</v>
      </c>
      <c r="AS38" s="56">
        <f t="shared" si="25"/>
        <v>0</v>
      </c>
      <c r="AT38">
        <f t="shared" si="26"/>
        <v>0</v>
      </c>
      <c r="AU38">
        <f t="shared" si="27"/>
        <v>0</v>
      </c>
    </row>
    <row r="39" spans="1:47">
      <c r="A39">
        <v>2036</v>
      </c>
      <c r="B39" s="56">
        <f>'Future Type Share'!AD37*'Future EndUse Share'!O150</f>
        <v>14663.059995933918</v>
      </c>
      <c r="C39">
        <f>'Future Type Share'!AB37*0.5*'Future EndUse Share'!AM150</f>
        <v>0</v>
      </c>
      <c r="D39">
        <f>'Future Type Share'!Z37*'Future EndUse Share'!AM150</f>
        <v>0</v>
      </c>
      <c r="E39">
        <f t="shared" si="28"/>
        <v>0</v>
      </c>
      <c r="F39">
        <v>0</v>
      </c>
      <c r="G39">
        <v>0</v>
      </c>
      <c r="I39" s="62"/>
      <c r="K39">
        <v>2036</v>
      </c>
      <c r="L39" s="56">
        <f>'Future Type Share'!AD37*'Future EndUse Share'!$M150</f>
        <v>34213.80665717915</v>
      </c>
      <c r="M39">
        <f>'Future Type Share'!AB37*0.5*'Future EndUse Share'!$AK$131</f>
        <v>0</v>
      </c>
      <c r="N39">
        <f>'Future Type Share'!Z37*'Future EndUse Share'!$AK$131</f>
        <v>0</v>
      </c>
      <c r="O39" s="56">
        <f t="shared" si="13"/>
        <v>0</v>
      </c>
      <c r="P39">
        <f t="shared" si="14"/>
        <v>0</v>
      </c>
      <c r="Q39">
        <f t="shared" si="15"/>
        <v>0</v>
      </c>
      <c r="S39" s="62"/>
      <c r="U39">
        <v>2036</v>
      </c>
      <c r="V39">
        <f t="shared" si="16"/>
        <v>0</v>
      </c>
      <c r="W39">
        <f t="shared" si="17"/>
        <v>0</v>
      </c>
      <c r="X39">
        <f t="shared" si="18"/>
        <v>0</v>
      </c>
      <c r="Y39">
        <f t="shared" si="19"/>
        <v>0</v>
      </c>
      <c r="Z39">
        <f t="shared" si="20"/>
        <v>0</v>
      </c>
      <c r="AA39">
        <f t="shared" si="21"/>
        <v>0</v>
      </c>
      <c r="AC39" s="62"/>
      <c r="AE39">
        <v>2036</v>
      </c>
      <c r="AF39" s="56">
        <f>'Future Type Share'!AD37*('Future EndUse Share'!$N150+'Future EndUse Share'!$P150+'Future EndUse Share'!$Q150)</f>
        <v>21994.589993900878</v>
      </c>
      <c r="AG39" s="56">
        <f>'Future Type Share'!AB37*0.5*('Future EndUse Share'!AL150+'Future EndUse Share'!AN150+'Future EndUse Share'!AO150)</f>
        <v>686.47284625158795</v>
      </c>
      <c r="AH39" s="56">
        <f>'Future Type Share'!Z37*('Future EndUse Share'!$AL150+'Future EndUse Share'!$AN150+'Future EndUse Share'!$AO150)</f>
        <v>15254</v>
      </c>
      <c r="AI39" s="56">
        <f t="shared" si="22"/>
        <v>686.47284625158795</v>
      </c>
      <c r="AJ39">
        <f t="shared" si="23"/>
        <v>0</v>
      </c>
      <c r="AK39">
        <f t="shared" si="24"/>
        <v>0</v>
      </c>
      <c r="AM39" s="62"/>
      <c r="AO39">
        <v>2036</v>
      </c>
      <c r="AP39" s="56">
        <f>'Future Type Share'!AD37*('Future EndUse Share'!R150)</f>
        <v>51320.709985768714</v>
      </c>
      <c r="AQ39" s="56">
        <f>'Future Type Share'!AB37*0.5*('Future EndUse Share'!AP150)</f>
        <v>0</v>
      </c>
      <c r="AR39" s="56">
        <f>'Future Type Share'!Z37*('Future EndUse Share'!AP150)</f>
        <v>0</v>
      </c>
      <c r="AS39" s="56">
        <f t="shared" si="25"/>
        <v>0</v>
      </c>
      <c r="AT39">
        <f t="shared" si="26"/>
        <v>0</v>
      </c>
      <c r="AU39">
        <f t="shared" si="27"/>
        <v>0</v>
      </c>
    </row>
    <row r="40" spans="1:47">
      <c r="A40">
        <v>2037</v>
      </c>
      <c r="B40" s="56">
        <f>'Future Type Share'!AD38*'Future EndUse Share'!O151</f>
        <v>14763.865127827188</v>
      </c>
      <c r="C40">
        <f>'Future Type Share'!AB38*0.5*'Future EndUse Share'!AM151</f>
        <v>0</v>
      </c>
      <c r="D40">
        <f>'Future Type Share'!Z38*'Future EndUse Share'!AM151</f>
        <v>0</v>
      </c>
      <c r="E40">
        <f t="shared" si="28"/>
        <v>0</v>
      </c>
      <c r="F40">
        <v>0</v>
      </c>
      <c r="G40">
        <v>0</v>
      </c>
      <c r="I40" s="62"/>
      <c r="K40">
        <v>2037</v>
      </c>
      <c r="L40" s="56">
        <f>'Future Type Share'!AD38*'Future EndUse Share'!$M151</f>
        <v>34449.01863159678</v>
      </c>
      <c r="M40">
        <f>'Future Type Share'!AB38*0.5*'Future EndUse Share'!$AK$131</f>
        <v>0</v>
      </c>
      <c r="N40">
        <f>'Future Type Share'!Z38*'Future EndUse Share'!$AK$131</f>
        <v>0</v>
      </c>
      <c r="O40" s="56">
        <f t="shared" si="13"/>
        <v>0</v>
      </c>
      <c r="P40">
        <f t="shared" si="14"/>
        <v>0</v>
      </c>
      <c r="Q40">
        <f t="shared" si="15"/>
        <v>0</v>
      </c>
      <c r="S40" s="62"/>
      <c r="U40">
        <v>2037</v>
      </c>
      <c r="V40">
        <f t="shared" si="16"/>
        <v>0</v>
      </c>
      <c r="W40">
        <f t="shared" si="17"/>
        <v>0</v>
      </c>
      <c r="X40">
        <f t="shared" si="18"/>
        <v>0</v>
      </c>
      <c r="Y40">
        <f t="shared" si="19"/>
        <v>0</v>
      </c>
      <c r="Z40">
        <f t="shared" si="20"/>
        <v>0</v>
      </c>
      <c r="AA40">
        <f t="shared" si="21"/>
        <v>0</v>
      </c>
      <c r="AC40" s="62"/>
      <c r="AE40">
        <v>2037</v>
      </c>
      <c r="AF40" s="56">
        <f>'Future Type Share'!AD38*('Future EndUse Share'!$N151+'Future EndUse Share'!$P151+'Future EndUse Share'!$Q151)</f>
        <v>22145.797691740783</v>
      </c>
      <c r="AG40" s="56">
        <f>'Future Type Share'!AB38*0.5*('Future EndUse Share'!AL151+'Future EndUse Share'!AN151+'Future EndUse Share'!AO151)</f>
        <v>691.19218763235904</v>
      </c>
      <c r="AH40" s="56">
        <f>'Future Type Share'!Z38*('Future EndUse Share'!$AL151+'Future EndUse Share'!$AN151+'Future EndUse Share'!$AO151)</f>
        <v>15254</v>
      </c>
      <c r="AI40" s="56">
        <f t="shared" si="22"/>
        <v>691.19218763235904</v>
      </c>
      <c r="AJ40">
        <f t="shared" si="23"/>
        <v>0</v>
      </c>
      <c r="AK40">
        <f t="shared" si="24"/>
        <v>0</v>
      </c>
      <c r="AM40" s="62"/>
      <c r="AO40">
        <v>2037</v>
      </c>
      <c r="AP40" s="56">
        <f>'Future Type Share'!AD38*('Future EndUse Share'!R151)</f>
        <v>51673.52794739516</v>
      </c>
      <c r="AQ40" s="56">
        <f>'Future Type Share'!AB38*0.5*('Future EndUse Share'!AP151)</f>
        <v>0</v>
      </c>
      <c r="AR40" s="56">
        <f>'Future Type Share'!Z38*('Future EndUse Share'!AP151)</f>
        <v>0</v>
      </c>
      <c r="AS40" s="56">
        <f t="shared" si="25"/>
        <v>0</v>
      </c>
      <c r="AT40">
        <f t="shared" si="26"/>
        <v>0</v>
      </c>
      <c r="AU40">
        <f t="shared" si="27"/>
        <v>0</v>
      </c>
    </row>
    <row r="41" spans="1:47">
      <c r="A41">
        <v>2038</v>
      </c>
      <c r="B41" s="56">
        <f>'Future Type Share'!AD39*'Future EndUse Share'!O152</f>
        <v>14864.670259720451</v>
      </c>
      <c r="C41">
        <f>'Future Type Share'!AB39*0.5*'Future EndUse Share'!AM152</f>
        <v>0</v>
      </c>
      <c r="D41">
        <f>'Future Type Share'!Z39*'Future EndUse Share'!AM152</f>
        <v>0</v>
      </c>
      <c r="E41">
        <f t="shared" si="28"/>
        <v>0</v>
      </c>
      <c r="F41">
        <v>0</v>
      </c>
      <c r="G41">
        <v>0</v>
      </c>
      <c r="I41" s="62"/>
      <c r="K41">
        <v>2038</v>
      </c>
      <c r="L41" s="56">
        <f>'Future Type Share'!AD39*'Future EndUse Share'!$M152</f>
        <v>34684.230606014389</v>
      </c>
      <c r="M41">
        <f>'Future Type Share'!AB39*0.5*'Future EndUse Share'!$AK$131</f>
        <v>0</v>
      </c>
      <c r="N41">
        <f>'Future Type Share'!Z39*'Future EndUse Share'!$AK$131</f>
        <v>0</v>
      </c>
      <c r="O41" s="56">
        <f t="shared" si="13"/>
        <v>0</v>
      </c>
      <c r="P41">
        <f t="shared" si="14"/>
        <v>0</v>
      </c>
      <c r="Q41">
        <f t="shared" si="15"/>
        <v>0</v>
      </c>
      <c r="S41" s="62"/>
      <c r="U41">
        <v>2038</v>
      </c>
      <c r="V41">
        <f t="shared" si="16"/>
        <v>0</v>
      </c>
      <c r="W41">
        <f t="shared" si="17"/>
        <v>0</v>
      </c>
      <c r="X41">
        <f t="shared" si="18"/>
        <v>0</v>
      </c>
      <c r="Y41">
        <f t="shared" si="19"/>
        <v>0</v>
      </c>
      <c r="Z41">
        <f t="shared" si="20"/>
        <v>0</v>
      </c>
      <c r="AA41">
        <f t="shared" si="21"/>
        <v>0</v>
      </c>
      <c r="AC41" s="62"/>
      <c r="AE41">
        <v>2038</v>
      </c>
      <c r="AF41" s="56">
        <f>'Future Type Share'!AD39*('Future EndUse Share'!$N152+'Future EndUse Share'!$P152+'Future EndUse Share'!$Q152)</f>
        <v>22297.005389580678</v>
      </c>
      <c r="AG41" s="56">
        <f>'Future Type Share'!AB39*0.5*('Future EndUse Share'!AL152+'Future EndUse Share'!AN152+'Future EndUse Share'!AO152)</f>
        <v>695.91152901312978</v>
      </c>
      <c r="AH41" s="56">
        <f>'Future Type Share'!Z39*('Future EndUse Share'!$AL152+'Future EndUse Share'!$AN152+'Future EndUse Share'!$AO152)</f>
        <v>15254</v>
      </c>
      <c r="AI41" s="56">
        <f t="shared" si="22"/>
        <v>695.91152901312978</v>
      </c>
      <c r="AJ41">
        <f t="shared" si="23"/>
        <v>0</v>
      </c>
      <c r="AK41">
        <f t="shared" si="24"/>
        <v>0</v>
      </c>
      <c r="AM41" s="62"/>
      <c r="AO41">
        <v>2038</v>
      </c>
      <c r="AP41" s="56">
        <f>'Future Type Share'!AD39*('Future EndUse Share'!R152)</f>
        <v>52026.345909021577</v>
      </c>
      <c r="AQ41" s="56">
        <f>'Future Type Share'!AB39*0.5*('Future EndUse Share'!AP152)</f>
        <v>0</v>
      </c>
      <c r="AR41" s="56">
        <f>'Future Type Share'!Z39*('Future EndUse Share'!AP152)</f>
        <v>0</v>
      </c>
      <c r="AS41" s="56">
        <f t="shared" si="25"/>
        <v>0</v>
      </c>
      <c r="AT41">
        <f t="shared" si="26"/>
        <v>0</v>
      </c>
      <c r="AU41">
        <f t="shared" si="27"/>
        <v>0</v>
      </c>
    </row>
    <row r="42" spans="1:47">
      <c r="A42">
        <v>2039</v>
      </c>
      <c r="B42" s="56">
        <f>'Future Type Share'!AD40*'Future EndUse Share'!O153</f>
        <v>14965.475391613718</v>
      </c>
      <c r="C42">
        <f>'Future Type Share'!AB40*0.5*'Future EndUse Share'!AM153</f>
        <v>0</v>
      </c>
      <c r="D42">
        <f>'Future Type Share'!Z40*'Future EndUse Share'!AM153</f>
        <v>0</v>
      </c>
      <c r="E42">
        <f t="shared" si="28"/>
        <v>0</v>
      </c>
      <c r="F42">
        <v>0</v>
      </c>
      <c r="G42">
        <v>0</v>
      </c>
      <c r="I42" s="62"/>
      <c r="K42">
        <v>2039</v>
      </c>
      <c r="L42" s="56">
        <f>'Future Type Share'!AD40*'Future EndUse Share'!$M153</f>
        <v>34919.442580432013</v>
      </c>
      <c r="M42">
        <f>'Future Type Share'!AB40*0.5*'Future EndUse Share'!$AK$131</f>
        <v>0</v>
      </c>
      <c r="N42">
        <f>'Future Type Share'!Z40*'Future EndUse Share'!$AK$131</f>
        <v>0</v>
      </c>
      <c r="O42" s="56">
        <f t="shared" si="13"/>
        <v>0</v>
      </c>
      <c r="P42">
        <f t="shared" si="14"/>
        <v>0</v>
      </c>
      <c r="Q42">
        <f t="shared" si="15"/>
        <v>0</v>
      </c>
      <c r="S42" s="62"/>
      <c r="U42">
        <v>2039</v>
      </c>
      <c r="V42">
        <f t="shared" si="16"/>
        <v>0</v>
      </c>
      <c r="W42">
        <f t="shared" si="17"/>
        <v>0</v>
      </c>
      <c r="X42">
        <f t="shared" si="18"/>
        <v>0</v>
      </c>
      <c r="Y42">
        <f t="shared" si="19"/>
        <v>0</v>
      </c>
      <c r="Z42">
        <f t="shared" si="20"/>
        <v>0</v>
      </c>
      <c r="AA42">
        <f t="shared" si="21"/>
        <v>0</v>
      </c>
      <c r="AC42" s="62"/>
      <c r="AE42">
        <v>2039</v>
      </c>
      <c r="AF42" s="56">
        <f>'Future Type Share'!AD40*('Future EndUse Share'!$N153+'Future EndUse Share'!$P153+'Future EndUse Share'!$Q153)</f>
        <v>22448.213087420576</v>
      </c>
      <c r="AG42" s="56">
        <f>'Future Type Share'!AB40*0.5*('Future EndUse Share'!AL153+'Future EndUse Share'!AN153+'Future EndUse Share'!AO153)</f>
        <v>700.63087039390075</v>
      </c>
      <c r="AH42" s="56">
        <f>'Future Type Share'!Z40*('Future EndUse Share'!$AL153+'Future EndUse Share'!$AN153+'Future EndUse Share'!$AO153)</f>
        <v>15254</v>
      </c>
      <c r="AI42" s="56">
        <f t="shared" si="22"/>
        <v>700.63087039390075</v>
      </c>
      <c r="AJ42">
        <f t="shared" si="23"/>
        <v>0</v>
      </c>
      <c r="AK42">
        <f t="shared" si="24"/>
        <v>0</v>
      </c>
      <c r="AM42" s="62"/>
      <c r="AO42">
        <v>2039</v>
      </c>
      <c r="AP42" s="56">
        <f>'Future Type Share'!AD40*('Future EndUse Share'!R153)</f>
        <v>52379.163870648015</v>
      </c>
      <c r="AQ42" s="56">
        <f>'Future Type Share'!AB40*0.5*('Future EndUse Share'!AP153)</f>
        <v>0</v>
      </c>
      <c r="AR42" s="56">
        <f>'Future Type Share'!Z40*('Future EndUse Share'!AP153)</f>
        <v>0</v>
      </c>
      <c r="AS42" s="56">
        <f t="shared" si="25"/>
        <v>0</v>
      </c>
      <c r="AT42">
        <f t="shared" si="26"/>
        <v>0</v>
      </c>
      <c r="AU42">
        <f t="shared" si="27"/>
        <v>0</v>
      </c>
    </row>
    <row r="43" spans="1:47">
      <c r="A43">
        <v>2040</v>
      </c>
      <c r="B43" s="56">
        <f>'Future Type Share'!AD41*'Future EndUse Share'!O154</f>
        <v>15066.280523506985</v>
      </c>
      <c r="C43">
        <f>'Future Type Share'!AB41*0.5*'Future EndUse Share'!AM154</f>
        <v>0</v>
      </c>
      <c r="D43">
        <f>'Future Type Share'!Z41*'Future EndUse Share'!AM154</f>
        <v>0</v>
      </c>
      <c r="E43">
        <f t="shared" si="28"/>
        <v>0</v>
      </c>
      <c r="F43">
        <v>0</v>
      </c>
      <c r="G43">
        <v>0</v>
      </c>
      <c r="I43" s="62"/>
      <c r="K43">
        <v>2040</v>
      </c>
      <c r="L43" s="56">
        <f>'Future Type Share'!AD41*'Future EndUse Share'!$M154</f>
        <v>35154.654554849636</v>
      </c>
      <c r="M43">
        <f>'Future Type Share'!AB41*0.5*'Future EndUse Share'!$AK$131</f>
        <v>0</v>
      </c>
      <c r="N43">
        <f>'Future Type Share'!Z41*'Future EndUse Share'!$AK$131</f>
        <v>0</v>
      </c>
      <c r="O43" s="56">
        <f t="shared" si="13"/>
        <v>0</v>
      </c>
      <c r="P43">
        <f t="shared" si="14"/>
        <v>0</v>
      </c>
      <c r="Q43">
        <f t="shared" si="15"/>
        <v>0</v>
      </c>
      <c r="S43" s="62"/>
      <c r="U43">
        <v>2040</v>
      </c>
      <c r="V43">
        <f t="shared" si="16"/>
        <v>0</v>
      </c>
      <c r="W43">
        <f t="shared" si="17"/>
        <v>0</v>
      </c>
      <c r="X43">
        <f t="shared" si="18"/>
        <v>0</v>
      </c>
      <c r="Y43">
        <f t="shared" si="19"/>
        <v>0</v>
      </c>
      <c r="Z43">
        <f t="shared" si="20"/>
        <v>0</v>
      </c>
      <c r="AA43">
        <f t="shared" si="21"/>
        <v>0</v>
      </c>
      <c r="AC43" s="62"/>
      <c r="AE43">
        <v>2040</v>
      </c>
      <c r="AF43" s="56">
        <f>'Future Type Share'!AD41*('Future EndUse Share'!$N154+'Future EndUse Share'!$P154+'Future EndUse Share'!$Q154)</f>
        <v>22599.420785260478</v>
      </c>
      <c r="AG43" s="56">
        <f>'Future Type Share'!AB41*0.5*('Future EndUse Share'!AL154+'Future EndUse Share'!AN154+'Future EndUse Share'!AO154)</f>
        <v>705.35021177467161</v>
      </c>
      <c r="AH43" s="56">
        <f>'Future Type Share'!Z41*('Future EndUse Share'!$AL154+'Future EndUse Share'!$AN154+'Future EndUse Share'!$AO154)</f>
        <v>15254</v>
      </c>
      <c r="AI43" s="56">
        <f t="shared" si="22"/>
        <v>705.35021177467161</v>
      </c>
      <c r="AJ43">
        <f t="shared" si="23"/>
        <v>0</v>
      </c>
      <c r="AK43">
        <f t="shared" si="24"/>
        <v>0</v>
      </c>
      <c r="AM43" s="62"/>
      <c r="AO43">
        <v>2040</v>
      </c>
      <c r="AP43" s="56">
        <f>'Future Type Share'!AD41*('Future EndUse Share'!R154)</f>
        <v>52731.981832274447</v>
      </c>
      <c r="AQ43" s="56">
        <f>'Future Type Share'!AB41*0.5*('Future EndUse Share'!AP154)</f>
        <v>0</v>
      </c>
      <c r="AR43" s="56">
        <f>'Future Type Share'!Z41*('Future EndUse Share'!AP154)</f>
        <v>0</v>
      </c>
      <c r="AS43" s="56">
        <f t="shared" si="25"/>
        <v>0</v>
      </c>
      <c r="AT43">
        <f t="shared" si="26"/>
        <v>0</v>
      </c>
      <c r="AU43">
        <f t="shared" si="27"/>
        <v>0</v>
      </c>
    </row>
    <row r="44" spans="1:47">
      <c r="A44">
        <v>2041</v>
      </c>
      <c r="B44" s="56">
        <f>'Future Type Share'!AD42*'Future EndUse Share'!O155</f>
        <v>15167.085655400251</v>
      </c>
      <c r="C44">
        <f>'Future Type Share'!AB42*0.5*'Future EndUse Share'!AM155</f>
        <v>0</v>
      </c>
      <c r="D44">
        <f>'Future Type Share'!Z42*'Future EndUse Share'!AM155</f>
        <v>0</v>
      </c>
      <c r="E44">
        <f t="shared" si="28"/>
        <v>0</v>
      </c>
      <c r="F44">
        <v>0</v>
      </c>
      <c r="G44">
        <v>0</v>
      </c>
      <c r="I44" s="62"/>
      <c r="K44">
        <v>2041</v>
      </c>
      <c r="L44" s="56">
        <f>'Future Type Share'!AD42*'Future EndUse Share'!$M155</f>
        <v>35389.866529267259</v>
      </c>
      <c r="M44">
        <f>'Future Type Share'!AB42*0.5*'Future EndUse Share'!$AK$131</f>
        <v>0</v>
      </c>
      <c r="N44">
        <f>'Future Type Share'!Z42*'Future EndUse Share'!$AK$131</f>
        <v>0</v>
      </c>
      <c r="O44" s="56">
        <f t="shared" si="13"/>
        <v>0</v>
      </c>
      <c r="P44">
        <f t="shared" si="14"/>
        <v>0</v>
      </c>
      <c r="Q44">
        <f t="shared" si="15"/>
        <v>0</v>
      </c>
      <c r="S44" s="62"/>
      <c r="U44">
        <v>2041</v>
      </c>
      <c r="V44">
        <f t="shared" si="16"/>
        <v>0</v>
      </c>
      <c r="W44">
        <f t="shared" si="17"/>
        <v>0</v>
      </c>
      <c r="X44">
        <f t="shared" si="18"/>
        <v>0</v>
      </c>
      <c r="Y44">
        <f t="shared" si="19"/>
        <v>0</v>
      </c>
      <c r="Z44">
        <f t="shared" si="20"/>
        <v>0</v>
      </c>
      <c r="AA44">
        <f t="shared" si="21"/>
        <v>0</v>
      </c>
      <c r="AC44" s="62"/>
      <c r="AE44">
        <v>2041</v>
      </c>
      <c r="AF44" s="56">
        <f>'Future Type Share'!AD42*('Future EndUse Share'!$N155+'Future EndUse Share'!$P155+'Future EndUse Share'!$Q155)</f>
        <v>22750.62848310038</v>
      </c>
      <c r="AG44" s="56">
        <f>'Future Type Share'!AB42*0.5*('Future EndUse Share'!AL155+'Future EndUse Share'!AN155+'Future EndUse Share'!AO155)</f>
        <v>710.06955315544258</v>
      </c>
      <c r="AH44" s="56">
        <f>'Future Type Share'!Z42*('Future EndUse Share'!$AL155+'Future EndUse Share'!$AN155+'Future EndUse Share'!$AO155)</f>
        <v>15254</v>
      </c>
      <c r="AI44" s="56">
        <f t="shared" si="22"/>
        <v>710.06955315544258</v>
      </c>
      <c r="AJ44">
        <f t="shared" si="23"/>
        <v>0</v>
      </c>
      <c r="AK44">
        <f t="shared" si="24"/>
        <v>0</v>
      </c>
      <c r="AM44" s="62"/>
      <c r="AO44">
        <v>2041</v>
      </c>
      <c r="AP44" s="56">
        <f>'Future Type Share'!AD42*('Future EndUse Share'!R155)</f>
        <v>53084.799793900878</v>
      </c>
      <c r="AQ44" s="56">
        <f>'Future Type Share'!AB42*0.5*('Future EndUse Share'!AP155)</f>
        <v>0</v>
      </c>
      <c r="AR44" s="56">
        <f>'Future Type Share'!Z42*('Future EndUse Share'!AP155)</f>
        <v>0</v>
      </c>
      <c r="AS44" s="56">
        <f t="shared" si="25"/>
        <v>0</v>
      </c>
      <c r="AT44">
        <f t="shared" si="26"/>
        <v>0</v>
      </c>
      <c r="AU44">
        <f t="shared" si="27"/>
        <v>0</v>
      </c>
    </row>
    <row r="45" spans="1:47">
      <c r="A45">
        <v>2042</v>
      </c>
      <c r="B45" s="56">
        <f>'Future Type Share'!AD43*'Future EndUse Share'!O156</f>
        <v>15267.89078729352</v>
      </c>
      <c r="C45">
        <f>'Future Type Share'!AB43*0.5*'Future EndUse Share'!AM156</f>
        <v>0</v>
      </c>
      <c r="D45">
        <f>'Future Type Share'!Z43*'Future EndUse Share'!AM156</f>
        <v>0</v>
      </c>
      <c r="E45">
        <f t="shared" si="28"/>
        <v>0</v>
      </c>
      <c r="F45">
        <v>0</v>
      </c>
      <c r="G45">
        <v>0</v>
      </c>
      <c r="I45" s="62"/>
      <c r="K45">
        <v>2042</v>
      </c>
      <c r="L45" s="56">
        <f>'Future Type Share'!AD43*'Future EndUse Share'!$M156</f>
        <v>35625.078503684883</v>
      </c>
      <c r="M45">
        <f>'Future Type Share'!AB43*0.5*'Future EndUse Share'!$AK$131</f>
        <v>0</v>
      </c>
      <c r="N45">
        <f>'Future Type Share'!Z43*'Future EndUse Share'!$AK$131</f>
        <v>0</v>
      </c>
      <c r="O45" s="56">
        <f t="shared" si="13"/>
        <v>0</v>
      </c>
      <c r="P45">
        <f t="shared" si="14"/>
        <v>0</v>
      </c>
      <c r="Q45">
        <f t="shared" si="15"/>
        <v>0</v>
      </c>
      <c r="S45" s="62"/>
      <c r="U45">
        <v>2042</v>
      </c>
      <c r="V45">
        <f t="shared" si="16"/>
        <v>0</v>
      </c>
      <c r="W45">
        <f t="shared" si="17"/>
        <v>0</v>
      </c>
      <c r="X45">
        <f t="shared" si="18"/>
        <v>0</v>
      </c>
      <c r="Y45">
        <f t="shared" si="19"/>
        <v>0</v>
      </c>
      <c r="Z45">
        <f t="shared" si="20"/>
        <v>0</v>
      </c>
      <c r="AA45">
        <f t="shared" si="21"/>
        <v>0</v>
      </c>
      <c r="AC45" s="62"/>
      <c r="AE45">
        <v>2042</v>
      </c>
      <c r="AF45" s="56">
        <f>'Future Type Share'!AD43*('Future EndUse Share'!$N156+'Future EndUse Share'!$P156+'Future EndUse Share'!$Q156)</f>
        <v>22901.836180940281</v>
      </c>
      <c r="AG45" s="56">
        <f>'Future Type Share'!AB43*0.5*('Future EndUse Share'!AL156+'Future EndUse Share'!AN156+'Future EndUse Share'!AO156)</f>
        <v>714.78889453621355</v>
      </c>
      <c r="AH45" s="56">
        <f>'Future Type Share'!Z43*('Future EndUse Share'!$AL156+'Future EndUse Share'!$AN156+'Future EndUse Share'!$AO156)</f>
        <v>15254</v>
      </c>
      <c r="AI45" s="56">
        <f t="shared" si="22"/>
        <v>714.78889453621355</v>
      </c>
      <c r="AJ45">
        <f t="shared" si="23"/>
        <v>0</v>
      </c>
      <c r="AK45">
        <f t="shared" si="24"/>
        <v>0</v>
      </c>
      <c r="AM45" s="62"/>
      <c r="AO45">
        <v>2042</v>
      </c>
      <c r="AP45" s="56">
        <f>'Future Type Share'!AD43*('Future EndUse Share'!R156)</f>
        <v>53437.617755527324</v>
      </c>
      <c r="AQ45" s="56">
        <f>'Future Type Share'!AB43*0.5*('Future EndUse Share'!AP156)</f>
        <v>0</v>
      </c>
      <c r="AR45" s="56">
        <f>'Future Type Share'!Z43*('Future EndUse Share'!AP156)</f>
        <v>0</v>
      </c>
      <c r="AS45" s="56">
        <f t="shared" si="25"/>
        <v>0</v>
      </c>
      <c r="AT45">
        <f t="shared" si="26"/>
        <v>0</v>
      </c>
      <c r="AU45">
        <f t="shared" si="27"/>
        <v>0</v>
      </c>
    </row>
    <row r="46" spans="1:47">
      <c r="A46">
        <v>2043</v>
      </c>
      <c r="B46" s="56">
        <f>'Future Type Share'!AD44*'Future EndUse Share'!O157</f>
        <v>15368.695919186786</v>
      </c>
      <c r="C46">
        <f>'Future Type Share'!AB44*0.5*'Future EndUse Share'!AM157</f>
        <v>0</v>
      </c>
      <c r="D46">
        <f>'Future Type Share'!Z44*'Future EndUse Share'!AM157</f>
        <v>0</v>
      </c>
      <c r="E46">
        <f t="shared" si="28"/>
        <v>0</v>
      </c>
      <c r="F46">
        <v>0</v>
      </c>
      <c r="G46">
        <v>0</v>
      </c>
      <c r="I46" s="62"/>
      <c r="K46">
        <v>2043</v>
      </c>
      <c r="L46" s="56">
        <f>'Future Type Share'!AD44*'Future EndUse Share'!$M157</f>
        <v>35860.290478102506</v>
      </c>
      <c r="M46">
        <f>'Future Type Share'!AB44*0.5*'Future EndUse Share'!$AK$131</f>
        <v>0</v>
      </c>
      <c r="N46">
        <f>'Future Type Share'!Z44*'Future EndUse Share'!$AK$131</f>
        <v>0</v>
      </c>
      <c r="O46" s="56">
        <f t="shared" si="13"/>
        <v>0</v>
      </c>
      <c r="P46">
        <f t="shared" si="14"/>
        <v>0</v>
      </c>
      <c r="Q46">
        <f t="shared" si="15"/>
        <v>0</v>
      </c>
      <c r="S46" s="62"/>
      <c r="U46">
        <v>2043</v>
      </c>
      <c r="V46">
        <f t="shared" si="16"/>
        <v>0</v>
      </c>
      <c r="W46">
        <f t="shared" si="17"/>
        <v>0</v>
      </c>
      <c r="X46">
        <f t="shared" si="18"/>
        <v>0</v>
      </c>
      <c r="Y46">
        <f t="shared" si="19"/>
        <v>0</v>
      </c>
      <c r="Z46">
        <f t="shared" si="20"/>
        <v>0</v>
      </c>
      <c r="AA46">
        <f t="shared" si="21"/>
        <v>0</v>
      </c>
      <c r="AC46" s="62"/>
      <c r="AE46">
        <v>2043</v>
      </c>
      <c r="AF46" s="56">
        <f>'Future Type Share'!AD44*('Future EndUse Share'!$N157+'Future EndUse Share'!$P157+'Future EndUse Share'!$Q157)</f>
        <v>23053.04387878018</v>
      </c>
      <c r="AG46" s="56">
        <f>'Future Type Share'!AB44*0.5*('Future EndUse Share'!AL157+'Future EndUse Share'!AN157+'Future EndUse Share'!AO157)</f>
        <v>719.5082359169844</v>
      </c>
      <c r="AH46" s="56">
        <f>'Future Type Share'!Z44*('Future EndUse Share'!$AL157+'Future EndUse Share'!$AN157+'Future EndUse Share'!$AO157)</f>
        <v>15254</v>
      </c>
      <c r="AI46" s="56">
        <f t="shared" si="22"/>
        <v>719.5082359169844</v>
      </c>
      <c r="AJ46">
        <f t="shared" si="23"/>
        <v>0</v>
      </c>
      <c r="AK46">
        <f t="shared" si="24"/>
        <v>0</v>
      </c>
      <c r="AM46" s="62"/>
      <c r="AO46">
        <v>2043</v>
      </c>
      <c r="AP46" s="56">
        <f>'Future Type Share'!AD44*('Future EndUse Share'!R157)</f>
        <v>53790.435717153756</v>
      </c>
      <c r="AQ46" s="56">
        <f>'Future Type Share'!AB44*0.5*('Future EndUse Share'!AP157)</f>
        <v>0</v>
      </c>
      <c r="AR46" s="56">
        <f>'Future Type Share'!Z44*('Future EndUse Share'!AP157)</f>
        <v>0</v>
      </c>
      <c r="AS46" s="56">
        <f t="shared" si="25"/>
        <v>0</v>
      </c>
      <c r="AT46">
        <f t="shared" si="26"/>
        <v>0</v>
      </c>
      <c r="AU46">
        <f t="shared" si="27"/>
        <v>0</v>
      </c>
    </row>
    <row r="47" spans="1:47">
      <c r="A47">
        <v>2044</v>
      </c>
      <c r="B47" s="56">
        <f>'Future Type Share'!AD45*'Future EndUse Share'!O158</f>
        <v>15469.501051080051</v>
      </c>
      <c r="C47">
        <f>'Future Type Share'!AB45*0.5*'Future EndUse Share'!AM158</f>
        <v>0</v>
      </c>
      <c r="D47">
        <f>'Future Type Share'!Z45*'Future EndUse Share'!AM158</f>
        <v>0</v>
      </c>
      <c r="E47">
        <f t="shared" si="28"/>
        <v>0</v>
      </c>
      <c r="F47">
        <v>0</v>
      </c>
      <c r="G47">
        <v>0</v>
      </c>
      <c r="I47" s="62"/>
      <c r="K47">
        <v>2044</v>
      </c>
      <c r="L47" s="56">
        <f>'Future Type Share'!AD45*'Future EndUse Share'!$M158</f>
        <v>36095.502452520122</v>
      </c>
      <c r="M47">
        <f>'Future Type Share'!AB45*0.5*'Future EndUse Share'!$AK$131</f>
        <v>0</v>
      </c>
      <c r="N47">
        <f>'Future Type Share'!Z45*'Future EndUse Share'!$AK$131</f>
        <v>0</v>
      </c>
      <c r="O47" s="56">
        <f t="shared" si="13"/>
        <v>0</v>
      </c>
      <c r="P47">
        <f t="shared" si="14"/>
        <v>0</v>
      </c>
      <c r="Q47">
        <f t="shared" si="15"/>
        <v>0</v>
      </c>
      <c r="S47" s="62"/>
      <c r="U47">
        <v>2044</v>
      </c>
      <c r="V47">
        <f t="shared" si="16"/>
        <v>0</v>
      </c>
      <c r="W47">
        <f t="shared" si="17"/>
        <v>0</v>
      </c>
      <c r="X47">
        <f t="shared" si="18"/>
        <v>0</v>
      </c>
      <c r="Y47">
        <f t="shared" si="19"/>
        <v>0</v>
      </c>
      <c r="Z47">
        <f t="shared" si="20"/>
        <v>0</v>
      </c>
      <c r="AA47">
        <f t="shared" si="21"/>
        <v>0</v>
      </c>
      <c r="AC47" s="62"/>
      <c r="AE47">
        <v>2044</v>
      </c>
      <c r="AF47" s="56">
        <f>'Future Type Share'!AD45*('Future EndUse Share'!$N158+'Future EndUse Share'!$P158+'Future EndUse Share'!$Q158)</f>
        <v>23204.251576620074</v>
      </c>
      <c r="AG47" s="56">
        <f>'Future Type Share'!AB45*0.5*('Future EndUse Share'!AL158+'Future EndUse Share'!AN158+'Future EndUse Share'!AO158)</f>
        <v>724.22757729775526</v>
      </c>
      <c r="AH47" s="56">
        <f>'Future Type Share'!Z45*('Future EndUse Share'!$AL158+'Future EndUse Share'!$AN158+'Future EndUse Share'!$AO158)</f>
        <v>15254</v>
      </c>
      <c r="AI47" s="56">
        <f t="shared" si="22"/>
        <v>724.22757729775526</v>
      </c>
      <c r="AJ47">
        <f t="shared" si="23"/>
        <v>0</v>
      </c>
      <c r="AK47">
        <f t="shared" si="24"/>
        <v>0</v>
      </c>
      <c r="AM47" s="62"/>
      <c r="AO47">
        <v>2044</v>
      </c>
      <c r="AP47" s="56">
        <f>'Future Type Share'!AD45*('Future EndUse Share'!R158)</f>
        <v>54143.25367878018</v>
      </c>
      <c r="AQ47" s="56">
        <f>'Future Type Share'!AB45*0.5*('Future EndUse Share'!AP158)</f>
        <v>0</v>
      </c>
      <c r="AR47" s="56">
        <f>'Future Type Share'!Z45*('Future EndUse Share'!AP158)</f>
        <v>0</v>
      </c>
      <c r="AS47" s="56">
        <f t="shared" si="25"/>
        <v>0</v>
      </c>
      <c r="AT47">
        <f t="shared" si="26"/>
        <v>0</v>
      </c>
      <c r="AU47">
        <f t="shared" si="27"/>
        <v>0</v>
      </c>
    </row>
    <row r="48" spans="1:47">
      <c r="A48">
        <v>2045</v>
      </c>
      <c r="B48" s="56">
        <f>'Future Type Share'!AD46*'Future EndUse Share'!O159</f>
        <v>15570.306182973321</v>
      </c>
      <c r="C48">
        <f>'Future Type Share'!AB46*0.5*'Future EndUse Share'!AM159</f>
        <v>0</v>
      </c>
      <c r="D48">
        <f>'Future Type Share'!Z46*'Future EndUse Share'!AM159</f>
        <v>0</v>
      </c>
      <c r="E48">
        <f t="shared" si="28"/>
        <v>0</v>
      </c>
      <c r="F48">
        <v>0</v>
      </c>
      <c r="G48">
        <v>0</v>
      </c>
      <c r="I48" s="62"/>
      <c r="K48">
        <v>2045</v>
      </c>
      <c r="L48" s="56">
        <f>'Future Type Share'!AD46*'Future EndUse Share'!$M159</f>
        <v>36330.714426937753</v>
      </c>
      <c r="M48">
        <f>'Future Type Share'!AB46*0.5*'Future EndUse Share'!$AK$131</f>
        <v>0</v>
      </c>
      <c r="N48">
        <f>'Future Type Share'!Z46*'Future EndUse Share'!$AK$131</f>
        <v>0</v>
      </c>
      <c r="O48" s="56">
        <f t="shared" si="13"/>
        <v>0</v>
      </c>
      <c r="P48">
        <f t="shared" si="14"/>
        <v>0</v>
      </c>
      <c r="Q48">
        <f t="shared" si="15"/>
        <v>0</v>
      </c>
      <c r="S48" s="62"/>
      <c r="U48">
        <v>2045</v>
      </c>
      <c r="V48">
        <f t="shared" si="16"/>
        <v>0</v>
      </c>
      <c r="W48">
        <f t="shared" si="17"/>
        <v>0</v>
      </c>
      <c r="X48">
        <f t="shared" si="18"/>
        <v>0</v>
      </c>
      <c r="Y48">
        <f t="shared" si="19"/>
        <v>0</v>
      </c>
      <c r="Z48">
        <f t="shared" si="20"/>
        <v>0</v>
      </c>
      <c r="AA48">
        <f t="shared" si="21"/>
        <v>0</v>
      </c>
      <c r="AC48" s="62"/>
      <c r="AE48">
        <v>2045</v>
      </c>
      <c r="AF48" s="56">
        <f>'Future Type Share'!AD46*('Future EndUse Share'!$N159+'Future EndUse Share'!$P159+'Future EndUse Share'!$Q159)</f>
        <v>23355.459274459979</v>
      </c>
      <c r="AG48" s="56">
        <f>'Future Type Share'!AB46*0.5*('Future EndUse Share'!AL159+'Future EndUse Share'!AN159+'Future EndUse Share'!AO159)</f>
        <v>728.94691867852623</v>
      </c>
      <c r="AH48" s="56">
        <f>'Future Type Share'!Z46*('Future EndUse Share'!$AL159+'Future EndUse Share'!$AN159+'Future EndUse Share'!$AO159)</f>
        <v>15254</v>
      </c>
      <c r="AI48" s="56">
        <f t="shared" si="22"/>
        <v>728.94691867852623</v>
      </c>
      <c r="AJ48">
        <f t="shared" si="23"/>
        <v>0</v>
      </c>
      <c r="AK48">
        <f t="shared" si="24"/>
        <v>0</v>
      </c>
      <c r="AM48" s="62"/>
      <c r="AO48">
        <v>2045</v>
      </c>
      <c r="AP48" s="56">
        <f>'Future Type Share'!AD46*('Future EndUse Share'!R159)</f>
        <v>54496.071640406626</v>
      </c>
      <c r="AQ48" s="56">
        <f>'Future Type Share'!AB46*0.5*('Future EndUse Share'!AP159)</f>
        <v>0</v>
      </c>
      <c r="AR48" s="56">
        <f>'Future Type Share'!Z46*('Future EndUse Share'!AP159)</f>
        <v>0</v>
      </c>
      <c r="AS48" s="56">
        <f t="shared" si="25"/>
        <v>0</v>
      </c>
      <c r="AT48">
        <f t="shared" si="26"/>
        <v>0</v>
      </c>
      <c r="AU48">
        <f t="shared" si="27"/>
        <v>0</v>
      </c>
    </row>
    <row r="49" spans="1:47">
      <c r="A49">
        <v>2046</v>
      </c>
      <c r="B49" s="56">
        <f>'Future Type Share'!AD47*'Future EndUse Share'!O160</f>
        <v>15671.111314866588</v>
      </c>
      <c r="C49">
        <f>'Future Type Share'!AB47*0.5*'Future EndUse Share'!AM160</f>
        <v>0</v>
      </c>
      <c r="D49">
        <f>'Future Type Share'!Z47*'Future EndUse Share'!AM160</f>
        <v>0</v>
      </c>
      <c r="E49">
        <f t="shared" si="28"/>
        <v>0</v>
      </c>
      <c r="F49">
        <v>0</v>
      </c>
      <c r="G49">
        <v>0</v>
      </c>
      <c r="I49" s="62"/>
      <c r="K49">
        <v>2046</v>
      </c>
      <c r="L49" s="56">
        <f>'Future Type Share'!AD47*'Future EndUse Share'!$M160</f>
        <v>36565.926401355377</v>
      </c>
      <c r="M49">
        <f>'Future Type Share'!AB47*0.5*'Future EndUse Share'!$AK$131</f>
        <v>0</v>
      </c>
      <c r="N49">
        <f>'Future Type Share'!Z47*'Future EndUse Share'!$AK$131</f>
        <v>0</v>
      </c>
      <c r="O49" s="56">
        <f t="shared" si="13"/>
        <v>0</v>
      </c>
      <c r="P49">
        <f t="shared" si="14"/>
        <v>0</v>
      </c>
      <c r="Q49">
        <f t="shared" si="15"/>
        <v>0</v>
      </c>
      <c r="S49" s="62"/>
      <c r="U49">
        <v>2046</v>
      </c>
      <c r="V49">
        <f t="shared" si="16"/>
        <v>0</v>
      </c>
      <c r="W49">
        <f t="shared" si="17"/>
        <v>0</v>
      </c>
      <c r="X49">
        <f t="shared" si="18"/>
        <v>0</v>
      </c>
      <c r="Y49">
        <f t="shared" si="19"/>
        <v>0</v>
      </c>
      <c r="Z49">
        <f t="shared" si="20"/>
        <v>0</v>
      </c>
      <c r="AA49">
        <f t="shared" si="21"/>
        <v>0</v>
      </c>
      <c r="AC49" s="62"/>
      <c r="AE49">
        <v>2046</v>
      </c>
      <c r="AF49" s="56">
        <f>'Future Type Share'!AD47*('Future EndUse Share'!$N160+'Future EndUse Share'!$P160+'Future EndUse Share'!$Q160)</f>
        <v>23506.666972299881</v>
      </c>
      <c r="AG49" s="56">
        <f>'Future Type Share'!AB47*0.5*('Future EndUse Share'!AL160+'Future EndUse Share'!AN160+'Future EndUse Share'!AO160)</f>
        <v>733.6662600592972</v>
      </c>
      <c r="AH49" s="56">
        <f>'Future Type Share'!Z47*('Future EndUse Share'!$AL160+'Future EndUse Share'!$AN160+'Future EndUse Share'!$AO160)</f>
        <v>15254</v>
      </c>
      <c r="AI49" s="56">
        <f t="shared" si="22"/>
        <v>733.6662600592972</v>
      </c>
      <c r="AJ49">
        <f t="shared" si="23"/>
        <v>0</v>
      </c>
      <c r="AK49">
        <f t="shared" si="24"/>
        <v>0</v>
      </c>
      <c r="AM49" s="62"/>
      <c r="AO49">
        <v>2046</v>
      </c>
      <c r="AP49" s="56">
        <f>'Future Type Share'!AD47*('Future EndUse Share'!R160)</f>
        <v>54848.889602033058</v>
      </c>
      <c r="AQ49" s="56">
        <f>'Future Type Share'!AB47*0.5*('Future EndUse Share'!AP160)</f>
        <v>0</v>
      </c>
      <c r="AR49" s="56">
        <f>'Future Type Share'!Z47*('Future EndUse Share'!AP160)</f>
        <v>0</v>
      </c>
      <c r="AS49" s="56">
        <f t="shared" si="25"/>
        <v>0</v>
      </c>
      <c r="AT49">
        <f t="shared" si="26"/>
        <v>0</v>
      </c>
      <c r="AU49">
        <f t="shared" si="27"/>
        <v>0</v>
      </c>
    </row>
    <row r="50" spans="1:47">
      <c r="A50">
        <v>2047</v>
      </c>
      <c r="B50" s="56">
        <f>'Future Type Share'!AD48*'Future EndUse Share'!O161</f>
        <v>15771.916446759853</v>
      </c>
      <c r="C50">
        <f>'Future Type Share'!AB48*0.5*'Future EndUse Share'!AM161</f>
        <v>0</v>
      </c>
      <c r="D50">
        <f>'Future Type Share'!Z48*'Future EndUse Share'!AM161</f>
        <v>0</v>
      </c>
      <c r="E50">
        <f t="shared" si="28"/>
        <v>0</v>
      </c>
      <c r="F50">
        <v>0</v>
      </c>
      <c r="G50">
        <v>0</v>
      </c>
      <c r="I50" s="62"/>
      <c r="K50">
        <v>2047</v>
      </c>
      <c r="L50" s="56">
        <f>'Future Type Share'!AD48*'Future EndUse Share'!$M161</f>
        <v>36801.138375772993</v>
      </c>
      <c r="M50">
        <f>'Future Type Share'!AB48*0.5*'Future EndUse Share'!$AK$131</f>
        <v>0</v>
      </c>
      <c r="N50">
        <f>'Future Type Share'!Z48*'Future EndUse Share'!$AK$131</f>
        <v>0</v>
      </c>
      <c r="O50" s="56">
        <f t="shared" si="13"/>
        <v>0</v>
      </c>
      <c r="P50">
        <f t="shared" si="14"/>
        <v>0</v>
      </c>
      <c r="Q50">
        <f t="shared" si="15"/>
        <v>0</v>
      </c>
      <c r="S50" s="62"/>
      <c r="U50">
        <v>2047</v>
      </c>
      <c r="V50">
        <f t="shared" si="16"/>
        <v>0</v>
      </c>
      <c r="W50">
        <f t="shared" si="17"/>
        <v>0</v>
      </c>
      <c r="X50">
        <f t="shared" si="18"/>
        <v>0</v>
      </c>
      <c r="Y50">
        <f t="shared" si="19"/>
        <v>0</v>
      </c>
      <c r="Z50">
        <f t="shared" si="20"/>
        <v>0</v>
      </c>
      <c r="AA50">
        <f t="shared" si="21"/>
        <v>0</v>
      </c>
      <c r="AC50" s="62"/>
      <c r="AE50">
        <v>2047</v>
      </c>
      <c r="AF50" s="56">
        <f>'Future Type Share'!AD48*('Future EndUse Share'!$N161+'Future EndUse Share'!$P161+'Future EndUse Share'!$Q161)</f>
        <v>23657.874670139779</v>
      </c>
      <c r="AG50" s="56">
        <f>'Future Type Share'!AB48*0.5*('Future EndUse Share'!AL161+'Future EndUse Share'!AN161+'Future EndUse Share'!AO161)</f>
        <v>738.38560144006794</v>
      </c>
      <c r="AH50" s="56">
        <f>'Future Type Share'!Z48*('Future EndUse Share'!$AL161+'Future EndUse Share'!$AN161+'Future EndUse Share'!$AO161)</f>
        <v>15254</v>
      </c>
      <c r="AI50" s="56">
        <f t="shared" si="22"/>
        <v>738.38560144006794</v>
      </c>
      <c r="AJ50">
        <f t="shared" si="23"/>
        <v>0</v>
      </c>
      <c r="AK50">
        <f t="shared" si="24"/>
        <v>0</v>
      </c>
      <c r="AM50" s="62"/>
      <c r="AO50">
        <v>2047</v>
      </c>
      <c r="AP50" s="56">
        <f>'Future Type Share'!AD48*('Future EndUse Share'!R161)</f>
        <v>55201.707563659482</v>
      </c>
      <c r="AQ50" s="56">
        <f>'Future Type Share'!AB48*0.5*('Future EndUse Share'!AP161)</f>
        <v>0</v>
      </c>
      <c r="AR50" s="56">
        <f>'Future Type Share'!Z48*('Future EndUse Share'!AP161)</f>
        <v>0</v>
      </c>
      <c r="AS50" s="56">
        <f t="shared" si="25"/>
        <v>0</v>
      </c>
      <c r="AT50">
        <f t="shared" si="26"/>
        <v>0</v>
      </c>
      <c r="AU50">
        <f t="shared" si="27"/>
        <v>0</v>
      </c>
    </row>
    <row r="51" spans="1:47">
      <c r="A51">
        <v>2048</v>
      </c>
      <c r="B51" s="56">
        <f>'Future Type Share'!AD49*'Future EndUse Share'!O162</f>
        <v>15872.721578653121</v>
      </c>
      <c r="C51">
        <f>'Future Type Share'!AB49*0.5*'Future EndUse Share'!AM162</f>
        <v>0</v>
      </c>
      <c r="D51">
        <f>'Future Type Share'!Z49*'Future EndUse Share'!AM162</f>
        <v>0</v>
      </c>
      <c r="E51">
        <f t="shared" si="28"/>
        <v>0</v>
      </c>
      <c r="F51">
        <v>0</v>
      </c>
      <c r="G51">
        <v>0</v>
      </c>
      <c r="I51" s="62"/>
      <c r="K51">
        <v>2048</v>
      </c>
      <c r="L51" s="56">
        <f>'Future Type Share'!AD49*'Future EndUse Share'!$M162</f>
        <v>37036.350350190623</v>
      </c>
      <c r="M51">
        <f>'Future Type Share'!AB49*0.5*'Future EndUse Share'!$AK$131</f>
        <v>0</v>
      </c>
      <c r="N51">
        <f>'Future Type Share'!Z49*'Future EndUse Share'!$AK$131</f>
        <v>0</v>
      </c>
      <c r="O51" s="56">
        <f t="shared" si="13"/>
        <v>0</v>
      </c>
      <c r="P51">
        <f t="shared" si="14"/>
        <v>0</v>
      </c>
      <c r="Q51">
        <f t="shared" si="15"/>
        <v>0</v>
      </c>
      <c r="S51" s="62"/>
      <c r="U51">
        <v>2048</v>
      </c>
      <c r="V51">
        <f t="shared" si="16"/>
        <v>0</v>
      </c>
      <c r="W51">
        <f t="shared" si="17"/>
        <v>0</v>
      </c>
      <c r="X51">
        <f t="shared" si="18"/>
        <v>0</v>
      </c>
      <c r="Y51">
        <f t="shared" si="19"/>
        <v>0</v>
      </c>
      <c r="Z51">
        <f t="shared" si="20"/>
        <v>0</v>
      </c>
      <c r="AA51">
        <f t="shared" si="21"/>
        <v>0</v>
      </c>
      <c r="AC51" s="62"/>
      <c r="AE51">
        <v>2048</v>
      </c>
      <c r="AF51" s="56">
        <f>'Future Type Share'!AD49*('Future EndUse Share'!$N162+'Future EndUse Share'!$P162+'Future EndUse Share'!$Q162)</f>
        <v>23809.082367979681</v>
      </c>
      <c r="AG51" s="56">
        <f>'Future Type Share'!AB49*0.5*('Future EndUse Share'!AL162+'Future EndUse Share'!AN162+'Future EndUse Share'!AO162)</f>
        <v>743.10494282083903</v>
      </c>
      <c r="AH51" s="56">
        <f>'Future Type Share'!Z49*('Future EndUse Share'!$AL162+'Future EndUse Share'!$AN162+'Future EndUse Share'!$AO162)</f>
        <v>15254</v>
      </c>
      <c r="AI51" s="56">
        <f t="shared" si="22"/>
        <v>743.10494282083903</v>
      </c>
      <c r="AJ51">
        <f t="shared" si="23"/>
        <v>0</v>
      </c>
      <c r="AK51">
        <f t="shared" si="24"/>
        <v>0</v>
      </c>
      <c r="AM51" s="62"/>
      <c r="AO51">
        <v>2048</v>
      </c>
      <c r="AP51" s="56">
        <f>'Future Type Share'!AD49*('Future EndUse Share'!R162)</f>
        <v>55554.525525285928</v>
      </c>
      <c r="AQ51" s="56">
        <f>'Future Type Share'!AB49*0.5*('Future EndUse Share'!AP162)</f>
        <v>0</v>
      </c>
      <c r="AR51" s="56">
        <f>'Future Type Share'!Z49*('Future EndUse Share'!AP162)</f>
        <v>0</v>
      </c>
      <c r="AS51" s="56">
        <f t="shared" si="25"/>
        <v>0</v>
      </c>
      <c r="AT51">
        <f t="shared" si="26"/>
        <v>0</v>
      </c>
      <c r="AU51">
        <f t="shared" si="27"/>
        <v>0</v>
      </c>
    </row>
    <row r="52" spans="1:47">
      <c r="A52">
        <v>2049</v>
      </c>
      <c r="B52" s="56">
        <f>'Future Type Share'!AD50*'Future EndUse Share'!O163</f>
        <v>15973.52671054639</v>
      </c>
      <c r="C52">
        <f>'Future Type Share'!AB50*0.5*'Future EndUse Share'!AM163</f>
        <v>0</v>
      </c>
      <c r="D52">
        <f>'Future Type Share'!Z50*'Future EndUse Share'!AM163</f>
        <v>0</v>
      </c>
      <c r="E52">
        <f t="shared" si="28"/>
        <v>0</v>
      </c>
      <c r="F52">
        <v>0</v>
      </c>
      <c r="G52">
        <v>0</v>
      </c>
      <c r="I52" s="62"/>
      <c r="K52">
        <v>2049</v>
      </c>
      <c r="L52" s="56">
        <f>'Future Type Share'!AD50*'Future EndUse Share'!$M163</f>
        <v>37271.562324608247</v>
      </c>
      <c r="M52">
        <f>'Future Type Share'!AB50*0.5*'Future EndUse Share'!$AK$131</f>
        <v>0</v>
      </c>
      <c r="N52">
        <f>'Future Type Share'!Z50*'Future EndUse Share'!$AK$131</f>
        <v>0</v>
      </c>
      <c r="O52" s="56">
        <f t="shared" si="13"/>
        <v>0</v>
      </c>
      <c r="P52">
        <f t="shared" si="14"/>
        <v>0</v>
      </c>
      <c r="Q52">
        <f t="shared" si="15"/>
        <v>0</v>
      </c>
      <c r="S52" s="62"/>
      <c r="U52">
        <v>2049</v>
      </c>
      <c r="V52">
        <f t="shared" si="16"/>
        <v>0</v>
      </c>
      <c r="W52">
        <f t="shared" si="17"/>
        <v>0</v>
      </c>
      <c r="X52">
        <f t="shared" si="18"/>
        <v>0</v>
      </c>
      <c r="Y52">
        <f t="shared" si="19"/>
        <v>0</v>
      </c>
      <c r="Z52">
        <f t="shared" si="20"/>
        <v>0</v>
      </c>
      <c r="AA52">
        <f t="shared" si="21"/>
        <v>0</v>
      </c>
      <c r="AC52" s="62"/>
      <c r="AE52">
        <v>2049</v>
      </c>
      <c r="AF52" s="56">
        <f>'Future Type Share'!AD50*('Future EndUse Share'!$N163+'Future EndUse Share'!$P163+'Future EndUse Share'!$Q163)</f>
        <v>23960.290065819583</v>
      </c>
      <c r="AG52" s="56">
        <f>'Future Type Share'!AB50*0.5*('Future EndUse Share'!AL163+'Future EndUse Share'!AN163+'Future EndUse Share'!AO163)</f>
        <v>747.82428420161</v>
      </c>
      <c r="AH52" s="56">
        <f>'Future Type Share'!Z50*('Future EndUse Share'!$AL163+'Future EndUse Share'!$AN163+'Future EndUse Share'!$AO163)</f>
        <v>15254</v>
      </c>
      <c r="AI52" s="56">
        <f t="shared" si="22"/>
        <v>747.82428420161</v>
      </c>
      <c r="AJ52">
        <f t="shared" si="23"/>
        <v>0</v>
      </c>
      <c r="AK52">
        <f t="shared" si="24"/>
        <v>0</v>
      </c>
      <c r="AM52" s="62"/>
      <c r="AO52">
        <v>2049</v>
      </c>
      <c r="AP52" s="56">
        <f>'Future Type Share'!AD50*('Future EndUse Share'!R163)</f>
        <v>55907.343486912367</v>
      </c>
      <c r="AQ52" s="56">
        <f>'Future Type Share'!AB50*0.5*('Future EndUse Share'!AP163)</f>
        <v>0</v>
      </c>
      <c r="AR52" s="56">
        <f>'Future Type Share'!Z50*('Future EndUse Share'!AP163)</f>
        <v>0</v>
      </c>
      <c r="AS52" s="56">
        <f t="shared" si="25"/>
        <v>0</v>
      </c>
      <c r="AT52">
        <f t="shared" si="26"/>
        <v>0</v>
      </c>
      <c r="AU52">
        <f t="shared" si="27"/>
        <v>0</v>
      </c>
    </row>
    <row r="53" spans="1:47">
      <c r="A53">
        <v>2050</v>
      </c>
      <c r="B53" s="56">
        <f>'Future Type Share'!AD51*'Future EndUse Share'!O164</f>
        <v>16074.331842439655</v>
      </c>
      <c r="C53">
        <f>'Future Type Share'!AB51*0.5*'Future EndUse Share'!AM164</f>
        <v>0</v>
      </c>
      <c r="D53">
        <f>'Future Type Share'!Z51*'Future EndUse Share'!AM164</f>
        <v>0</v>
      </c>
      <c r="E53">
        <f t="shared" si="28"/>
        <v>0</v>
      </c>
      <c r="F53">
        <v>0</v>
      </c>
      <c r="G53">
        <v>0</v>
      </c>
      <c r="I53" s="62"/>
      <c r="K53">
        <v>2050</v>
      </c>
      <c r="L53" s="56">
        <f>'Future Type Share'!AD51*'Future EndUse Share'!$M164</f>
        <v>37506.774299025863</v>
      </c>
      <c r="M53">
        <f>'Future Type Share'!AB51*0.5*'Future EndUse Share'!$AK$131</f>
        <v>0</v>
      </c>
      <c r="N53">
        <f>'Future Type Share'!Z51*'Future EndUse Share'!$AK$131</f>
        <v>0</v>
      </c>
      <c r="O53" s="56">
        <f t="shared" si="13"/>
        <v>0</v>
      </c>
      <c r="P53">
        <f t="shared" si="14"/>
        <v>0</v>
      </c>
      <c r="Q53">
        <f t="shared" si="15"/>
        <v>0</v>
      </c>
      <c r="S53" s="62"/>
      <c r="U53">
        <v>2050</v>
      </c>
      <c r="V53">
        <f t="shared" si="16"/>
        <v>0</v>
      </c>
      <c r="W53">
        <f t="shared" si="17"/>
        <v>0</v>
      </c>
      <c r="X53">
        <f t="shared" si="18"/>
        <v>0</v>
      </c>
      <c r="Y53">
        <f t="shared" si="19"/>
        <v>0</v>
      </c>
      <c r="Z53">
        <f t="shared" si="20"/>
        <v>0</v>
      </c>
      <c r="AA53">
        <f t="shared" si="21"/>
        <v>0</v>
      </c>
      <c r="AC53" s="62"/>
      <c r="AE53">
        <v>2050</v>
      </c>
      <c r="AF53" s="56">
        <f>'Future Type Share'!AD51*('Future EndUse Share'!$N164+'Future EndUse Share'!$P164+'Future EndUse Share'!$Q164)</f>
        <v>24111.497763659481</v>
      </c>
      <c r="AG53" s="56">
        <f>'Future Type Share'!AB51*0.5*('Future EndUse Share'!AL164+'Future EndUse Share'!AN164+'Future EndUse Share'!AO164)</f>
        <v>752.54362558238097</v>
      </c>
      <c r="AH53" s="56">
        <f>'Future Type Share'!Z51*('Future EndUse Share'!$AL164+'Future EndUse Share'!$AN164+'Future EndUse Share'!$AO164)</f>
        <v>15254</v>
      </c>
      <c r="AI53" s="56">
        <f t="shared" si="22"/>
        <v>752.54362558238097</v>
      </c>
      <c r="AJ53">
        <f t="shared" si="23"/>
        <v>0</v>
      </c>
      <c r="AK53">
        <f t="shared" si="24"/>
        <v>0</v>
      </c>
      <c r="AM53" s="62"/>
      <c r="AO53">
        <v>2050</v>
      </c>
      <c r="AP53" s="56">
        <f>'Future Type Share'!AD51*('Future EndUse Share'!R164)</f>
        <v>56260.161448538791</v>
      </c>
      <c r="AQ53" s="56">
        <f>'Future Type Share'!AB51*0.5*('Future EndUse Share'!AP164)</f>
        <v>0</v>
      </c>
      <c r="AR53" s="56">
        <f>'Future Type Share'!Z51*('Future EndUse Share'!AP164)</f>
        <v>0</v>
      </c>
      <c r="AS53" s="56">
        <f t="shared" si="25"/>
        <v>0</v>
      </c>
      <c r="AT53">
        <f t="shared" si="26"/>
        <v>0</v>
      </c>
      <c r="AU53">
        <f t="shared" si="27"/>
        <v>0</v>
      </c>
    </row>
    <row r="55" spans="1:47">
      <c r="L55" t="s">
        <v>946</v>
      </c>
    </row>
    <row r="56" spans="1:47">
      <c r="L56" t="s">
        <v>947</v>
      </c>
    </row>
  </sheetData>
  <phoneticPr fontId="3"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55"/>
  <sheetViews>
    <sheetView zoomScale="85" workbookViewId="0">
      <selection activeCell="K14" sqref="K14"/>
    </sheetView>
  </sheetViews>
  <sheetFormatPr defaultColWidth="8.7265625" defaultRowHeight="14.5"/>
  <cols>
    <col min="1" max="1" width="5.81640625" customWidth="1"/>
    <col min="2" max="2" width="17.7265625" customWidth="1"/>
    <col min="11" max="11" width="7.453125" customWidth="1"/>
  </cols>
  <sheetData>
    <row r="1" spans="1:47" ht="21">
      <c r="A1" s="106" t="s">
        <v>948</v>
      </c>
    </row>
    <row r="2" spans="1:47" ht="21">
      <c r="A2" s="106"/>
      <c r="C2" t="s">
        <v>949</v>
      </c>
    </row>
    <row r="3" spans="1:47" s="58" customFormat="1">
      <c r="A3" s="155"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950</v>
      </c>
      <c r="C5">
        <f t="array" ref="C5:AU10">TRANSPOSE(Commercial_1!B9:G53)</f>
        <v>15863.890000000001</v>
      </c>
      <c r="D5">
        <v>15778.733333333337</v>
      </c>
      <c r="E5">
        <v>15693.57666666669</v>
      </c>
      <c r="F5">
        <v>15608.420000000013</v>
      </c>
      <c r="G5">
        <v>15523.263333333336</v>
      </c>
      <c r="H5">
        <v>15438.106666666688</v>
      </c>
      <c r="I5">
        <v>15352.949999999999</v>
      </c>
      <c r="J5">
        <v>16355.36</v>
      </c>
      <c r="K5">
        <v>15520.65</v>
      </c>
      <c r="L5">
        <v>15697.05</v>
      </c>
      <c r="M5">
        <v>15725.849999999999</v>
      </c>
      <c r="N5">
        <v>14653.660000000002</v>
      </c>
      <c r="O5">
        <v>14880.740000000002</v>
      </c>
      <c r="P5">
        <v>12958.56</v>
      </c>
      <c r="Q5">
        <v>12260.039999999999</v>
      </c>
      <c r="R5">
        <v>12868.8</v>
      </c>
      <c r="S5">
        <v>13212.08241714528</v>
      </c>
      <c r="T5">
        <v>13346.228408800602</v>
      </c>
      <c r="U5">
        <v>13480.882373200897</v>
      </c>
      <c r="V5">
        <v>13554.203545108014</v>
      </c>
      <c r="W5">
        <v>13655.00867700128</v>
      </c>
      <c r="X5">
        <v>13755.813808894547</v>
      </c>
      <c r="Y5">
        <v>13856.618940787816</v>
      </c>
      <c r="Z5">
        <v>13957.424072681082</v>
      </c>
      <c r="AA5">
        <v>14058.229204574349</v>
      </c>
      <c r="AB5">
        <v>14159.034336467614</v>
      </c>
      <c r="AC5">
        <v>14259.839468360884</v>
      </c>
      <c r="AD5">
        <v>14360.644600254151</v>
      </c>
      <c r="AE5">
        <v>14461.449732147414</v>
      </c>
      <c r="AF5">
        <v>14562.25486404068</v>
      </c>
      <c r="AG5">
        <v>14663.059995933918</v>
      </c>
      <c r="AH5">
        <v>14763.865127827188</v>
      </c>
      <c r="AI5">
        <v>14864.670259720451</v>
      </c>
      <c r="AJ5">
        <v>14965.475391613718</v>
      </c>
      <c r="AK5">
        <v>15066.280523506985</v>
      </c>
      <c r="AL5">
        <v>15167.085655400251</v>
      </c>
      <c r="AM5">
        <v>15267.89078729352</v>
      </c>
      <c r="AN5">
        <v>15368.695919186786</v>
      </c>
      <c r="AO5">
        <v>15469.501051080051</v>
      </c>
      <c r="AP5">
        <v>15570.306182973321</v>
      </c>
      <c r="AQ5">
        <v>15671.111314866588</v>
      </c>
      <c r="AR5">
        <v>15771.916446759853</v>
      </c>
      <c r="AS5">
        <v>15872.721578653121</v>
      </c>
      <c r="AT5">
        <v>15973.52671054639</v>
      </c>
      <c r="AU5">
        <v>16074.331842439655</v>
      </c>
    </row>
    <row r="6" spans="1:47">
      <c r="B6" t="s">
        <v>951</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952</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953</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954</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955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8" customFormat="1">
      <c r="A12" s="108" t="s">
        <v>937</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950</v>
      </c>
      <c r="C14">
        <f t="array" ref="C14:AU19">TRANSPOSE(Commercial_1!L9:Q53)</f>
        <v>30794.61</v>
      </c>
      <c r="D14">
        <v>30779.825000000004</v>
      </c>
      <c r="E14">
        <v>30765.040000000005</v>
      </c>
      <c r="F14">
        <v>30750.255000000001</v>
      </c>
      <c r="G14">
        <v>30735.47</v>
      </c>
      <c r="H14">
        <v>30720.685000000001</v>
      </c>
      <c r="I14">
        <v>30705.899999999998</v>
      </c>
      <c r="J14">
        <v>30666.3</v>
      </c>
      <c r="K14">
        <v>32076.01</v>
      </c>
      <c r="L14">
        <v>30347.629999999997</v>
      </c>
      <c r="M14">
        <v>30403.309999999998</v>
      </c>
      <c r="N14">
        <v>31400.699999999997</v>
      </c>
      <c r="O14">
        <v>32950.21</v>
      </c>
      <c r="P14">
        <v>26997</v>
      </c>
      <c r="Q14">
        <v>28606.760000000002</v>
      </c>
      <c r="R14">
        <v>30027.200000000004</v>
      </c>
      <c r="S14">
        <v>30828.192306672328</v>
      </c>
      <c r="T14">
        <v>31141.199620534742</v>
      </c>
      <c r="U14">
        <v>31455.392204135427</v>
      </c>
      <c r="V14">
        <v>31626.474938585372</v>
      </c>
      <c r="W14">
        <v>31861.686913002995</v>
      </c>
      <c r="X14">
        <v>32096.898887420612</v>
      </c>
      <c r="Y14">
        <v>32332.110861838239</v>
      </c>
      <c r="Z14">
        <v>32567.322836255862</v>
      </c>
      <c r="AA14">
        <v>32802.534810673482</v>
      </c>
      <c r="AB14">
        <v>33037.746785091105</v>
      </c>
      <c r="AC14">
        <v>33272.958759508736</v>
      </c>
      <c r="AD14">
        <v>33508.170733926359</v>
      </c>
      <c r="AE14">
        <v>33743.382708343968</v>
      </c>
      <c r="AF14">
        <v>33978.594682761592</v>
      </c>
      <c r="AG14">
        <v>34213.80665717915</v>
      </c>
      <c r="AH14">
        <v>34449.01863159678</v>
      </c>
      <c r="AI14">
        <v>34684.230606014389</v>
      </c>
      <c r="AJ14">
        <v>34919.442580432013</v>
      </c>
      <c r="AK14">
        <v>35154.654554849636</v>
      </c>
      <c r="AL14">
        <v>35389.866529267259</v>
      </c>
      <c r="AM14">
        <v>35625.078503684883</v>
      </c>
      <c r="AN14">
        <v>35860.290478102506</v>
      </c>
      <c r="AO14">
        <v>36095.502452520122</v>
      </c>
      <c r="AP14">
        <v>36330.714426937753</v>
      </c>
      <c r="AQ14">
        <v>36565.926401355377</v>
      </c>
      <c r="AR14">
        <v>36801.138375772993</v>
      </c>
      <c r="AS14">
        <v>37036.350350190623</v>
      </c>
      <c r="AT14">
        <v>37271.562324608247</v>
      </c>
      <c r="AU14">
        <v>37506.774299025863</v>
      </c>
    </row>
    <row r="15" spans="1:47">
      <c r="B15" t="s">
        <v>951</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952</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953</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954</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955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8" customFormat="1">
      <c r="A21" s="108" t="s">
        <v>938</v>
      </c>
    </row>
    <row r="22" spans="1:47">
      <c r="B22" t="s">
        <v>557</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940</v>
      </c>
      <c r="C23">
        <f t="array" ref="C23:AU28">TRANSPOSE(Commercial_1!V9:AA53)</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941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942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943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944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945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8" customFormat="1">
      <c r="A30" s="108" t="s">
        <v>939</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950</v>
      </c>
      <c r="C32">
        <f t="array" ref="C32:AU37">TRANSPOSE(Commercial_1!AF9:AK53)</f>
        <v>15863.89</v>
      </c>
      <c r="D32">
        <v>16972.851666666567</v>
      </c>
      <c r="E32">
        <v>18081.813333333004</v>
      </c>
      <c r="F32">
        <v>19190.774999999907</v>
      </c>
      <c r="G32">
        <v>20299.736666666344</v>
      </c>
      <c r="H32">
        <v>21408.698333333246</v>
      </c>
      <c r="I32">
        <v>22517.660000000003</v>
      </c>
      <c r="J32">
        <v>22488.620000000003</v>
      </c>
      <c r="K32">
        <v>22763.620000000003</v>
      </c>
      <c r="L32">
        <v>21975.870000000003</v>
      </c>
      <c r="M32">
        <v>22016.190000000002</v>
      </c>
      <c r="N32">
        <v>23027.18</v>
      </c>
      <c r="O32">
        <v>23384.02</v>
      </c>
      <c r="P32">
        <v>21597.600000000002</v>
      </c>
      <c r="Q32">
        <v>17368.39</v>
      </c>
      <c r="R32">
        <v>19303.2</v>
      </c>
      <c r="S32">
        <v>19818.123625717923</v>
      </c>
      <c r="T32">
        <v>20019.342613200904</v>
      </c>
      <c r="U32">
        <v>20221.323559801345</v>
      </c>
      <c r="V32">
        <v>20331.305317662023</v>
      </c>
      <c r="W32">
        <v>20482.513015501921</v>
      </c>
      <c r="X32">
        <v>20633.72071334182</v>
      </c>
      <c r="Y32">
        <v>20784.928411181721</v>
      </c>
      <c r="Z32">
        <v>20936.136109021623</v>
      </c>
      <c r="AA32">
        <v>21087.343806861521</v>
      </c>
      <c r="AB32">
        <v>21238.55150470142</v>
      </c>
      <c r="AC32">
        <v>21389.759202541325</v>
      </c>
      <c r="AD32">
        <v>21540.966900381227</v>
      </c>
      <c r="AE32">
        <v>21692.174598221121</v>
      </c>
      <c r="AF32">
        <v>21843.38229606102</v>
      </c>
      <c r="AG32">
        <v>21994.589993900878</v>
      </c>
      <c r="AH32">
        <v>22145.797691740783</v>
      </c>
      <c r="AI32">
        <v>22297.005389580678</v>
      </c>
      <c r="AJ32">
        <v>22448.213087420576</v>
      </c>
      <c r="AK32">
        <v>22599.420785260478</v>
      </c>
      <c r="AL32">
        <v>22750.62848310038</v>
      </c>
      <c r="AM32">
        <v>22901.836180940281</v>
      </c>
      <c r="AN32">
        <v>23053.04387878018</v>
      </c>
      <c r="AO32">
        <v>23204.251576620074</v>
      </c>
      <c r="AP32">
        <v>23355.459274459979</v>
      </c>
      <c r="AQ32">
        <v>23506.666972299881</v>
      </c>
      <c r="AR32">
        <v>23657.874670139779</v>
      </c>
      <c r="AS32">
        <v>23809.082367979681</v>
      </c>
      <c r="AT32">
        <v>23960.290065819583</v>
      </c>
      <c r="AU32">
        <v>24111.497763659481</v>
      </c>
    </row>
    <row r="33" spans="1:47">
      <c r="B33" t="s">
        <v>951</v>
      </c>
      <c r="C33">
        <v>2467.3593062961168</v>
      </c>
      <c r="D33">
        <v>2197.466088580084</v>
      </c>
      <c r="E33">
        <v>1927.5728708640672</v>
      </c>
      <c r="F33">
        <v>1657.6796531480504</v>
      </c>
      <c r="G33">
        <v>1387.7864354320336</v>
      </c>
      <c r="H33">
        <v>1117.8932177160168</v>
      </c>
      <c r="I33">
        <v>848</v>
      </c>
      <c r="J33">
        <v>738.5</v>
      </c>
      <c r="K33">
        <v>715.5</v>
      </c>
      <c r="L33">
        <v>617.5</v>
      </c>
      <c r="M33">
        <v>509.5</v>
      </c>
      <c r="N33">
        <v>415</v>
      </c>
      <c r="O33">
        <v>337.5</v>
      </c>
      <c r="P33">
        <v>287</v>
      </c>
      <c r="Q33">
        <v>249</v>
      </c>
      <c r="R33">
        <v>245</v>
      </c>
      <c r="S33">
        <v>0</v>
      </c>
      <c r="T33">
        <v>625.12140830156739</v>
      </c>
      <c r="U33">
        <v>629.84074968233836</v>
      </c>
      <c r="V33">
        <v>634.56009106310933</v>
      </c>
      <c r="W33">
        <v>639.27943244388018</v>
      </c>
      <c r="X33">
        <v>643.99877382465104</v>
      </c>
      <c r="Y33">
        <v>648.71811520542212</v>
      </c>
      <c r="Z33">
        <v>653.43745658619298</v>
      </c>
      <c r="AA33">
        <v>658.15679796696395</v>
      </c>
      <c r="AB33">
        <v>662.87613934773469</v>
      </c>
      <c r="AC33">
        <v>667.59548072850578</v>
      </c>
      <c r="AD33">
        <v>672.31482210927675</v>
      </c>
      <c r="AE33">
        <v>677.03416349004749</v>
      </c>
      <c r="AF33">
        <v>681.75350487081846</v>
      </c>
      <c r="AG33">
        <v>686.47284625158795</v>
      </c>
      <c r="AH33">
        <v>691.19218763235904</v>
      </c>
      <c r="AI33">
        <v>695.91152901312978</v>
      </c>
      <c r="AJ33">
        <v>700.63087039390075</v>
      </c>
      <c r="AK33">
        <v>705.35021177467161</v>
      </c>
      <c r="AL33">
        <v>710.06955315544258</v>
      </c>
      <c r="AM33">
        <v>714.78889453621355</v>
      </c>
      <c r="AN33">
        <v>719.5082359169844</v>
      </c>
      <c r="AO33">
        <v>724.22757729775526</v>
      </c>
      <c r="AP33">
        <v>728.94691867852623</v>
      </c>
      <c r="AQ33">
        <v>733.6662600592972</v>
      </c>
      <c r="AR33">
        <v>738.38560144006794</v>
      </c>
      <c r="AS33">
        <v>743.10494282083903</v>
      </c>
      <c r="AT33">
        <v>747.82428420161</v>
      </c>
      <c r="AU33">
        <v>752.54362558238097</v>
      </c>
    </row>
    <row r="34" spans="1:47">
      <c r="B34" t="s">
        <v>952</v>
      </c>
      <c r="C34">
        <v>13627.461387407766</v>
      </c>
      <c r="D34">
        <v>13736.217822839826</v>
      </c>
      <c r="E34">
        <v>13844.974258271861</v>
      </c>
      <c r="F34">
        <v>13953.730693703896</v>
      </c>
      <c r="G34">
        <v>14062.48712913593</v>
      </c>
      <c r="H34">
        <v>14171.243564567994</v>
      </c>
      <c r="I34">
        <v>14280</v>
      </c>
      <c r="J34">
        <v>14512</v>
      </c>
      <c r="K34">
        <v>14713</v>
      </c>
      <c r="L34">
        <v>14535</v>
      </c>
      <c r="M34">
        <v>14601</v>
      </c>
      <c r="N34">
        <v>14908</v>
      </c>
      <c r="O34">
        <v>15254</v>
      </c>
      <c r="P34">
        <v>14440</v>
      </c>
      <c r="Q34">
        <v>11847</v>
      </c>
      <c r="R34">
        <v>12353</v>
      </c>
      <c r="S34">
        <v>15254</v>
      </c>
      <c r="T34">
        <v>15254</v>
      </c>
      <c r="U34">
        <v>15254</v>
      </c>
      <c r="V34">
        <v>15254</v>
      </c>
      <c r="W34">
        <v>15254</v>
      </c>
      <c r="X34">
        <v>15254</v>
      </c>
      <c r="Y34">
        <v>15254</v>
      </c>
      <c r="Z34">
        <v>15254</v>
      </c>
      <c r="AA34">
        <v>15254</v>
      </c>
      <c r="AB34">
        <v>15254</v>
      </c>
      <c r="AC34">
        <v>15254</v>
      </c>
      <c r="AD34">
        <v>15254</v>
      </c>
      <c r="AE34">
        <v>15254</v>
      </c>
      <c r="AF34">
        <v>15254</v>
      </c>
      <c r="AG34">
        <v>15254</v>
      </c>
      <c r="AH34">
        <v>15254</v>
      </c>
      <c r="AI34">
        <v>15254</v>
      </c>
      <c r="AJ34">
        <v>15254</v>
      </c>
      <c r="AK34">
        <v>15254</v>
      </c>
      <c r="AL34">
        <v>15254</v>
      </c>
      <c r="AM34">
        <v>15254</v>
      </c>
      <c r="AN34">
        <v>15254</v>
      </c>
      <c r="AO34">
        <v>15254</v>
      </c>
      <c r="AP34">
        <v>15254</v>
      </c>
      <c r="AQ34">
        <v>15254</v>
      </c>
      <c r="AR34">
        <v>15254</v>
      </c>
      <c r="AS34">
        <v>15254</v>
      </c>
      <c r="AT34">
        <v>15254</v>
      </c>
      <c r="AU34">
        <v>15254</v>
      </c>
    </row>
    <row r="35" spans="1:47">
      <c r="B35" t="s">
        <v>953</v>
      </c>
      <c r="C35">
        <v>2467.3593062961168</v>
      </c>
      <c r="D35">
        <v>2197.466088580084</v>
      </c>
      <c r="E35">
        <v>1927.5728708640672</v>
      </c>
      <c r="F35">
        <v>1657.6796531480504</v>
      </c>
      <c r="G35">
        <v>1387.7864354320336</v>
      </c>
      <c r="H35">
        <v>1117.8932177160168</v>
      </c>
      <c r="I35">
        <v>848</v>
      </c>
      <c r="J35">
        <v>738.5</v>
      </c>
      <c r="K35">
        <v>715.5</v>
      </c>
      <c r="L35">
        <v>617.5</v>
      </c>
      <c r="M35">
        <v>509.5</v>
      </c>
      <c r="N35">
        <v>415</v>
      </c>
      <c r="O35">
        <v>337.5</v>
      </c>
      <c r="P35">
        <v>287</v>
      </c>
      <c r="Q35">
        <v>249</v>
      </c>
      <c r="R35">
        <v>245</v>
      </c>
      <c r="S35">
        <v>0</v>
      </c>
      <c r="T35">
        <v>625.12140830156739</v>
      </c>
      <c r="U35">
        <v>629.84074968233836</v>
      </c>
      <c r="V35">
        <v>634.56009106310933</v>
      </c>
      <c r="W35">
        <v>639.27943244388018</v>
      </c>
      <c r="X35">
        <v>643.99877382465104</v>
      </c>
      <c r="Y35">
        <v>648.71811520542212</v>
      </c>
      <c r="Z35">
        <v>653.43745658619298</v>
      </c>
      <c r="AA35">
        <v>658.15679796696395</v>
      </c>
      <c r="AB35">
        <v>662.87613934773469</v>
      </c>
      <c r="AC35">
        <v>667.59548072850578</v>
      </c>
      <c r="AD35">
        <v>672.31482210927675</v>
      </c>
      <c r="AE35">
        <v>677.03416349004749</v>
      </c>
      <c r="AF35">
        <v>681.75350487081846</v>
      </c>
      <c r="AG35">
        <v>686.47284625158795</v>
      </c>
      <c r="AH35">
        <v>691.19218763235904</v>
      </c>
      <c r="AI35">
        <v>695.91152901312978</v>
      </c>
      <c r="AJ35">
        <v>700.63087039390075</v>
      </c>
      <c r="AK35">
        <v>705.35021177467161</v>
      </c>
      <c r="AL35">
        <v>710.06955315544258</v>
      </c>
      <c r="AM35">
        <v>714.78889453621355</v>
      </c>
      <c r="AN35">
        <v>719.5082359169844</v>
      </c>
      <c r="AO35">
        <v>724.22757729775526</v>
      </c>
      <c r="AP35">
        <v>728.94691867852623</v>
      </c>
      <c r="AQ35">
        <v>733.6662600592972</v>
      </c>
      <c r="AR35">
        <v>738.38560144006794</v>
      </c>
      <c r="AS35">
        <v>743.10494282083903</v>
      </c>
      <c r="AT35">
        <v>747.82428420161</v>
      </c>
      <c r="AU35">
        <v>752.54362558238097</v>
      </c>
    </row>
    <row r="36" spans="1:47">
      <c r="B36" t="s">
        <v>954</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955</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8" customFormat="1">
      <c r="A39" s="108"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950</v>
      </c>
      <c r="C41">
        <f t="array" ref="C41:AU46">TRANSPOSE(Commercial_1!AP9:AU53)</f>
        <v>30794.61</v>
      </c>
      <c r="D41">
        <v>31291.590000000084</v>
      </c>
      <c r="E41">
        <v>31788.570000000065</v>
      </c>
      <c r="F41">
        <v>32285.550000000047</v>
      </c>
      <c r="G41">
        <v>32782.530000000028</v>
      </c>
      <c r="H41">
        <v>33279.510000000009</v>
      </c>
      <c r="I41">
        <v>33776.49</v>
      </c>
      <c r="J41">
        <v>32710.720000000001</v>
      </c>
      <c r="K41">
        <v>33110.720000000001</v>
      </c>
      <c r="L41">
        <v>36626.449999999997</v>
      </c>
      <c r="M41">
        <v>36693.649999999994</v>
      </c>
      <c r="N41">
        <v>35587.46</v>
      </c>
      <c r="O41">
        <v>36138.94</v>
      </c>
      <c r="P41">
        <v>46434.84</v>
      </c>
      <c r="Q41">
        <v>42910.14</v>
      </c>
      <c r="R41">
        <v>45040.799999999996</v>
      </c>
      <c r="S41">
        <v>46242.288460008487</v>
      </c>
      <c r="T41">
        <v>46711.799430802108</v>
      </c>
      <c r="U41">
        <v>47183.088306203135</v>
      </c>
      <c r="V41">
        <v>47439.712407878047</v>
      </c>
      <c r="W41">
        <v>47792.530369504486</v>
      </c>
      <c r="X41">
        <v>48145.34833113091</v>
      </c>
      <c r="Y41">
        <v>48498.166292757349</v>
      </c>
      <c r="Z41">
        <v>48850.984254383788</v>
      </c>
      <c r="AA41">
        <v>49203.802216010219</v>
      </c>
      <c r="AB41">
        <v>49556.620177636651</v>
      </c>
      <c r="AC41">
        <v>49909.438139263097</v>
      </c>
      <c r="AD41">
        <v>50262.256100889528</v>
      </c>
      <c r="AE41">
        <v>50615.074062515952</v>
      </c>
      <c r="AF41">
        <v>50967.892024142384</v>
      </c>
      <c r="AG41">
        <v>51320.709985768714</v>
      </c>
      <c r="AH41">
        <v>51673.52794739516</v>
      </c>
      <c r="AI41">
        <v>52026.345909021577</v>
      </c>
      <c r="AJ41">
        <v>52379.163870648015</v>
      </c>
      <c r="AK41">
        <v>52731.981832274447</v>
      </c>
      <c r="AL41">
        <v>53084.799793900878</v>
      </c>
      <c r="AM41">
        <v>53437.617755527324</v>
      </c>
      <c r="AN41">
        <v>53790.435717153756</v>
      </c>
      <c r="AO41">
        <v>54143.25367878018</v>
      </c>
      <c r="AP41">
        <v>54496.071640406626</v>
      </c>
      <c r="AQ41">
        <v>54848.889602033058</v>
      </c>
      <c r="AR41">
        <v>55201.707563659482</v>
      </c>
      <c r="AS41">
        <v>55554.525525285928</v>
      </c>
      <c r="AT41">
        <v>55907.343486912367</v>
      </c>
      <c r="AU41">
        <v>56260.161448538791</v>
      </c>
    </row>
    <row r="42" spans="1:47">
      <c r="B42" t="s">
        <v>951</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952</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row>
    <row r="44" spans="1:47">
      <c r="B44" t="s">
        <v>953</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954</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955</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67" t="s">
        <v>956</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950</v>
      </c>
      <c r="C50" s="56">
        <f t="shared" ref="C50:C55" si="0">SUM(C5,C14,C23,C32,C41)</f>
        <v>93317</v>
      </c>
      <c r="D50" s="56">
        <f t="shared" ref="D50:AU55" si="1">SUM(D5,D14,D23,D32,D41)</f>
        <v>94823</v>
      </c>
      <c r="E50" s="56">
        <f t="shared" si="1"/>
        <v>96328.999999999767</v>
      </c>
      <c r="F50" s="56">
        <f t="shared" si="1"/>
        <v>97834.999999999971</v>
      </c>
      <c r="G50" s="56">
        <f t="shared" si="1"/>
        <v>99340.999999999709</v>
      </c>
      <c r="H50" s="56">
        <f t="shared" si="1"/>
        <v>100846.99999999994</v>
      </c>
      <c r="I50" s="56">
        <f t="shared" si="1"/>
        <v>102353</v>
      </c>
      <c r="J50" s="56">
        <f t="shared" si="1"/>
        <v>102221</v>
      </c>
      <c r="K50" s="56">
        <f t="shared" si="1"/>
        <v>103471</v>
      </c>
      <c r="L50" s="56">
        <f t="shared" si="1"/>
        <v>104646.99999999999</v>
      </c>
      <c r="M50" s="56">
        <f t="shared" si="1"/>
        <v>104839</v>
      </c>
      <c r="N50" s="56">
        <f t="shared" si="1"/>
        <v>104669</v>
      </c>
      <c r="O50" s="56">
        <f t="shared" si="1"/>
        <v>107353.91</v>
      </c>
      <c r="P50" s="56">
        <f t="shared" si="1"/>
        <v>107988</v>
      </c>
      <c r="Q50" s="56">
        <f t="shared" si="1"/>
        <v>101145.33</v>
      </c>
      <c r="R50" s="56">
        <f t="shared" si="1"/>
        <v>107240</v>
      </c>
      <c r="S50" s="56">
        <f t="shared" si="1"/>
        <v>110100.68680954401</v>
      </c>
      <c r="T50" s="56">
        <f t="shared" si="1"/>
        <v>111218.57007333836</v>
      </c>
      <c r="U50" s="56">
        <f t="shared" si="1"/>
        <v>112340.6864433408</v>
      </c>
      <c r="V50" s="56">
        <f t="shared" si="1"/>
        <v>112951.69620923346</v>
      </c>
      <c r="W50" s="56">
        <f t="shared" si="1"/>
        <v>113791.73897501068</v>
      </c>
      <c r="X50" s="56">
        <f t="shared" si="1"/>
        <v>114631.78174078789</v>
      </c>
      <c r="Y50" s="56">
        <f t="shared" si="1"/>
        <v>115471.82450656513</v>
      </c>
      <c r="Z50" s="56">
        <f t="shared" si="1"/>
        <v>116311.86727234235</v>
      </c>
      <c r="AA50" s="56">
        <f t="shared" si="1"/>
        <v>117151.91003811956</v>
      </c>
      <c r="AB50" s="56">
        <f t="shared" si="1"/>
        <v>117991.9528038968</v>
      </c>
      <c r="AC50" s="56">
        <f t="shared" si="1"/>
        <v>118831.99556967404</v>
      </c>
      <c r="AD50" s="56">
        <f t="shared" si="1"/>
        <v>119672.03833545126</v>
      </c>
      <c r="AE50" s="56">
        <f t="shared" si="1"/>
        <v>120512.08110122845</v>
      </c>
      <c r="AF50" s="56">
        <f t="shared" si="1"/>
        <v>121352.12386700566</v>
      </c>
      <c r="AG50" s="56">
        <f t="shared" si="1"/>
        <v>122192.16663278265</v>
      </c>
      <c r="AH50" s="56">
        <f t="shared" si="1"/>
        <v>123032.20939855991</v>
      </c>
      <c r="AI50" s="56">
        <f t="shared" si="1"/>
        <v>123872.2521643371</v>
      </c>
      <c r="AJ50" s="56">
        <f t="shared" si="1"/>
        <v>124712.29493011432</v>
      </c>
      <c r="AK50" s="56">
        <f t="shared" si="1"/>
        <v>125552.33769589153</v>
      </c>
      <c r="AL50" s="56">
        <f t="shared" si="1"/>
        <v>126392.38046166877</v>
      </c>
      <c r="AM50" s="56">
        <f t="shared" si="1"/>
        <v>127232.42322744601</v>
      </c>
      <c r="AN50" s="56">
        <f t="shared" si="1"/>
        <v>128072.46599322323</v>
      </c>
      <c r="AO50" s="56">
        <f t="shared" si="1"/>
        <v>128912.50875900043</v>
      </c>
      <c r="AP50" s="56">
        <f t="shared" si="1"/>
        <v>129752.55152477766</v>
      </c>
      <c r="AQ50" s="56">
        <f t="shared" si="1"/>
        <v>130592.5942905549</v>
      </c>
      <c r="AR50" s="56">
        <f t="shared" si="1"/>
        <v>131432.63705633211</v>
      </c>
      <c r="AS50" s="56">
        <f t="shared" si="1"/>
        <v>132272.67982210935</v>
      </c>
      <c r="AT50" s="56">
        <f t="shared" si="1"/>
        <v>133112.72258788659</v>
      </c>
      <c r="AU50" s="56">
        <f t="shared" si="1"/>
        <v>133952.7653536638</v>
      </c>
    </row>
    <row r="51" spans="2:47">
      <c r="B51" t="s">
        <v>951</v>
      </c>
      <c r="C51" s="56">
        <f t="shared" si="0"/>
        <v>2467.3593062961168</v>
      </c>
      <c r="D51" s="56">
        <f t="shared" ref="D51:R51" si="2">SUM(D6,D15,D24,D33,D42)</f>
        <v>2197.466088580084</v>
      </c>
      <c r="E51" s="56">
        <f t="shared" si="2"/>
        <v>1927.5728708640672</v>
      </c>
      <c r="F51" s="56">
        <f t="shared" si="2"/>
        <v>1657.6796531480504</v>
      </c>
      <c r="G51" s="56">
        <f t="shared" si="2"/>
        <v>1387.7864354320336</v>
      </c>
      <c r="H51" s="56">
        <f t="shared" si="2"/>
        <v>1117.8932177160168</v>
      </c>
      <c r="I51" s="56">
        <f t="shared" si="2"/>
        <v>848</v>
      </c>
      <c r="J51" s="56">
        <f t="shared" si="2"/>
        <v>738.5</v>
      </c>
      <c r="K51" s="56">
        <f t="shared" si="2"/>
        <v>715.5</v>
      </c>
      <c r="L51" s="56">
        <f t="shared" si="2"/>
        <v>617.5</v>
      </c>
      <c r="M51" s="56">
        <f t="shared" si="2"/>
        <v>509.5</v>
      </c>
      <c r="N51" s="56">
        <f t="shared" si="2"/>
        <v>415</v>
      </c>
      <c r="O51" s="56">
        <f t="shared" si="2"/>
        <v>337.5</v>
      </c>
      <c r="P51" s="56">
        <f t="shared" si="2"/>
        <v>287</v>
      </c>
      <c r="Q51" s="56">
        <f t="shared" si="2"/>
        <v>249</v>
      </c>
      <c r="R51" s="56">
        <f t="shared" si="2"/>
        <v>245</v>
      </c>
      <c r="S51" s="56">
        <f t="shared" si="1"/>
        <v>0</v>
      </c>
      <c r="T51" s="56">
        <f t="shared" si="1"/>
        <v>625.12140830156739</v>
      </c>
      <c r="U51" s="56">
        <f t="shared" si="1"/>
        <v>629.84074968233836</v>
      </c>
      <c r="V51" s="56">
        <f t="shared" si="1"/>
        <v>634.56009106310933</v>
      </c>
      <c r="W51" s="56">
        <f t="shared" si="1"/>
        <v>639.27943244388018</v>
      </c>
      <c r="X51" s="56">
        <f t="shared" si="1"/>
        <v>643.99877382465104</v>
      </c>
      <c r="Y51" s="56">
        <f t="shared" si="1"/>
        <v>648.71811520542212</v>
      </c>
      <c r="Z51" s="56">
        <f t="shared" si="1"/>
        <v>653.43745658619298</v>
      </c>
      <c r="AA51" s="56">
        <f t="shared" si="1"/>
        <v>658.15679796696395</v>
      </c>
      <c r="AB51" s="56">
        <f t="shared" si="1"/>
        <v>662.87613934773469</v>
      </c>
      <c r="AC51" s="56">
        <f t="shared" si="1"/>
        <v>667.59548072850578</v>
      </c>
      <c r="AD51" s="56">
        <f t="shared" si="1"/>
        <v>672.31482210927675</v>
      </c>
      <c r="AE51" s="56">
        <f t="shared" si="1"/>
        <v>677.03416349004749</v>
      </c>
      <c r="AF51" s="56">
        <f t="shared" si="1"/>
        <v>681.75350487081846</v>
      </c>
      <c r="AG51" s="56">
        <f t="shared" si="1"/>
        <v>686.47284625158795</v>
      </c>
      <c r="AH51" s="56">
        <f t="shared" si="1"/>
        <v>691.19218763235904</v>
      </c>
      <c r="AI51" s="56">
        <f t="shared" si="1"/>
        <v>695.91152901312978</v>
      </c>
      <c r="AJ51" s="56">
        <f t="shared" si="1"/>
        <v>700.63087039390075</v>
      </c>
      <c r="AK51" s="56">
        <f t="shared" si="1"/>
        <v>705.35021177467161</v>
      </c>
      <c r="AL51" s="56">
        <f t="shared" si="1"/>
        <v>710.06955315544258</v>
      </c>
      <c r="AM51" s="56">
        <f t="shared" si="1"/>
        <v>714.78889453621355</v>
      </c>
      <c r="AN51" s="56">
        <f t="shared" si="1"/>
        <v>719.5082359169844</v>
      </c>
      <c r="AO51" s="56">
        <f t="shared" si="1"/>
        <v>724.22757729775526</v>
      </c>
      <c r="AP51" s="56">
        <f t="shared" si="1"/>
        <v>728.94691867852623</v>
      </c>
      <c r="AQ51" s="56">
        <f t="shared" si="1"/>
        <v>733.6662600592972</v>
      </c>
      <c r="AR51" s="56">
        <f t="shared" si="1"/>
        <v>738.38560144006794</v>
      </c>
      <c r="AS51" s="56">
        <f t="shared" si="1"/>
        <v>743.10494282083903</v>
      </c>
      <c r="AT51" s="56">
        <f t="shared" si="1"/>
        <v>747.82428420161</v>
      </c>
      <c r="AU51" s="56">
        <f t="shared" si="1"/>
        <v>752.54362558238097</v>
      </c>
    </row>
    <row r="52" spans="2:47">
      <c r="B52" t="s">
        <v>952</v>
      </c>
      <c r="C52" s="56">
        <f t="shared" si="0"/>
        <v>13627.461387407766</v>
      </c>
      <c r="D52" s="56">
        <f t="shared" si="1"/>
        <v>13736.217822839826</v>
      </c>
      <c r="E52" s="56">
        <f t="shared" si="1"/>
        <v>13844.974258271861</v>
      </c>
      <c r="F52" s="56">
        <f t="shared" si="1"/>
        <v>13953.730693703896</v>
      </c>
      <c r="G52" s="56">
        <f t="shared" si="1"/>
        <v>14062.48712913593</v>
      </c>
      <c r="H52" s="56">
        <f t="shared" si="1"/>
        <v>14171.243564567994</v>
      </c>
      <c r="I52" s="56">
        <f t="shared" si="1"/>
        <v>14280</v>
      </c>
      <c r="J52" s="56">
        <f t="shared" si="1"/>
        <v>14512</v>
      </c>
      <c r="K52" s="56">
        <f t="shared" si="1"/>
        <v>14713</v>
      </c>
      <c r="L52" s="56">
        <f t="shared" si="1"/>
        <v>14535</v>
      </c>
      <c r="M52" s="56">
        <f t="shared" si="1"/>
        <v>14601</v>
      </c>
      <c r="N52" s="56">
        <f t="shared" si="1"/>
        <v>14908</v>
      </c>
      <c r="O52" s="56">
        <f t="shared" si="1"/>
        <v>15254</v>
      </c>
      <c r="P52" s="56">
        <f t="shared" si="1"/>
        <v>14440</v>
      </c>
      <c r="Q52" s="56">
        <f t="shared" si="1"/>
        <v>11847</v>
      </c>
      <c r="R52" s="56">
        <f t="shared" si="1"/>
        <v>12353</v>
      </c>
      <c r="S52" s="56">
        <f t="shared" si="1"/>
        <v>15254</v>
      </c>
      <c r="T52" s="56">
        <f t="shared" si="1"/>
        <v>15254</v>
      </c>
      <c r="U52" s="56">
        <f t="shared" si="1"/>
        <v>15254</v>
      </c>
      <c r="V52" s="56">
        <f t="shared" si="1"/>
        <v>15254</v>
      </c>
      <c r="W52" s="56">
        <f t="shared" si="1"/>
        <v>15254</v>
      </c>
      <c r="X52" s="56">
        <f t="shared" si="1"/>
        <v>15254</v>
      </c>
      <c r="Y52" s="56">
        <f t="shared" si="1"/>
        <v>15254</v>
      </c>
      <c r="Z52" s="56">
        <f t="shared" si="1"/>
        <v>15254</v>
      </c>
      <c r="AA52" s="56">
        <f t="shared" si="1"/>
        <v>15254</v>
      </c>
      <c r="AB52" s="56">
        <f t="shared" si="1"/>
        <v>15254</v>
      </c>
      <c r="AC52" s="56">
        <f t="shared" si="1"/>
        <v>15254</v>
      </c>
      <c r="AD52" s="56">
        <f t="shared" si="1"/>
        <v>15254</v>
      </c>
      <c r="AE52" s="56">
        <f t="shared" si="1"/>
        <v>15254</v>
      </c>
      <c r="AF52" s="56">
        <f t="shared" si="1"/>
        <v>15254</v>
      </c>
      <c r="AG52" s="56">
        <f t="shared" si="1"/>
        <v>15254</v>
      </c>
      <c r="AH52" s="56">
        <f t="shared" si="1"/>
        <v>15254</v>
      </c>
      <c r="AI52" s="56">
        <f t="shared" si="1"/>
        <v>15254</v>
      </c>
      <c r="AJ52" s="56">
        <f t="shared" si="1"/>
        <v>15254</v>
      </c>
      <c r="AK52" s="56">
        <f t="shared" si="1"/>
        <v>15254</v>
      </c>
      <c r="AL52" s="56">
        <f t="shared" si="1"/>
        <v>15254</v>
      </c>
      <c r="AM52" s="56">
        <f t="shared" si="1"/>
        <v>15254</v>
      </c>
      <c r="AN52" s="56">
        <f t="shared" si="1"/>
        <v>15254</v>
      </c>
      <c r="AO52" s="56">
        <f t="shared" si="1"/>
        <v>15254</v>
      </c>
      <c r="AP52" s="56">
        <f t="shared" si="1"/>
        <v>15254</v>
      </c>
      <c r="AQ52" s="56">
        <f t="shared" si="1"/>
        <v>15254</v>
      </c>
      <c r="AR52" s="56">
        <f t="shared" si="1"/>
        <v>15254</v>
      </c>
      <c r="AS52" s="56">
        <f t="shared" si="1"/>
        <v>15254</v>
      </c>
      <c r="AT52" s="56">
        <f t="shared" si="1"/>
        <v>15254</v>
      </c>
      <c r="AU52" s="56">
        <f t="shared" si="1"/>
        <v>15254</v>
      </c>
    </row>
    <row r="53" spans="2:47">
      <c r="B53" t="s">
        <v>953</v>
      </c>
      <c r="C53" s="56">
        <f t="shared" si="0"/>
        <v>2467.3593062961168</v>
      </c>
      <c r="D53" s="56">
        <f t="shared" si="1"/>
        <v>2197.466088580084</v>
      </c>
      <c r="E53" s="56">
        <f t="shared" si="1"/>
        <v>1927.5728708640672</v>
      </c>
      <c r="F53" s="56">
        <f t="shared" si="1"/>
        <v>1657.6796531480504</v>
      </c>
      <c r="G53" s="56">
        <f t="shared" si="1"/>
        <v>1387.7864354320336</v>
      </c>
      <c r="H53" s="56">
        <f t="shared" si="1"/>
        <v>1117.8932177160168</v>
      </c>
      <c r="I53" s="56">
        <f t="shared" si="1"/>
        <v>848</v>
      </c>
      <c r="J53" s="56">
        <f t="shared" si="1"/>
        <v>738.5</v>
      </c>
      <c r="K53" s="56">
        <f t="shared" si="1"/>
        <v>715.5</v>
      </c>
      <c r="L53" s="56">
        <f t="shared" si="1"/>
        <v>617.5</v>
      </c>
      <c r="M53" s="56">
        <f t="shared" si="1"/>
        <v>509.5</v>
      </c>
      <c r="N53" s="56">
        <f t="shared" si="1"/>
        <v>415</v>
      </c>
      <c r="O53" s="56">
        <f t="shared" si="1"/>
        <v>337.5</v>
      </c>
      <c r="P53" s="56">
        <f t="shared" si="1"/>
        <v>287</v>
      </c>
      <c r="Q53" s="56">
        <f t="shared" si="1"/>
        <v>249</v>
      </c>
      <c r="R53" s="56">
        <f t="shared" si="1"/>
        <v>245</v>
      </c>
      <c r="S53" s="56">
        <f t="shared" si="1"/>
        <v>0</v>
      </c>
      <c r="T53" s="56">
        <f t="shared" si="1"/>
        <v>625.12140830156739</v>
      </c>
      <c r="U53" s="56">
        <f t="shared" si="1"/>
        <v>629.84074968233836</v>
      </c>
      <c r="V53" s="56">
        <f t="shared" si="1"/>
        <v>634.56009106310933</v>
      </c>
      <c r="W53" s="56">
        <f t="shared" si="1"/>
        <v>639.27943244388018</v>
      </c>
      <c r="X53" s="56">
        <f t="shared" si="1"/>
        <v>643.99877382465104</v>
      </c>
      <c r="Y53" s="56">
        <f t="shared" si="1"/>
        <v>648.71811520542212</v>
      </c>
      <c r="Z53" s="56">
        <f t="shared" si="1"/>
        <v>653.43745658619298</v>
      </c>
      <c r="AA53" s="56">
        <f t="shared" si="1"/>
        <v>658.15679796696395</v>
      </c>
      <c r="AB53" s="56">
        <f t="shared" si="1"/>
        <v>662.87613934773469</v>
      </c>
      <c r="AC53" s="56">
        <f t="shared" si="1"/>
        <v>667.59548072850578</v>
      </c>
      <c r="AD53" s="56">
        <f t="shared" si="1"/>
        <v>672.31482210927675</v>
      </c>
      <c r="AE53" s="56">
        <f t="shared" si="1"/>
        <v>677.03416349004749</v>
      </c>
      <c r="AF53" s="56">
        <f t="shared" si="1"/>
        <v>681.75350487081846</v>
      </c>
      <c r="AG53" s="56">
        <f t="shared" si="1"/>
        <v>686.47284625158795</v>
      </c>
      <c r="AH53" s="56">
        <f t="shared" si="1"/>
        <v>691.19218763235904</v>
      </c>
      <c r="AI53" s="56">
        <f t="shared" si="1"/>
        <v>695.91152901312978</v>
      </c>
      <c r="AJ53" s="56">
        <f t="shared" si="1"/>
        <v>700.63087039390075</v>
      </c>
      <c r="AK53" s="56">
        <f t="shared" si="1"/>
        <v>705.35021177467161</v>
      </c>
      <c r="AL53" s="56">
        <f t="shared" si="1"/>
        <v>710.06955315544258</v>
      </c>
      <c r="AM53" s="56">
        <f t="shared" si="1"/>
        <v>714.78889453621355</v>
      </c>
      <c r="AN53" s="56">
        <f t="shared" si="1"/>
        <v>719.5082359169844</v>
      </c>
      <c r="AO53" s="56">
        <f t="shared" si="1"/>
        <v>724.22757729775526</v>
      </c>
      <c r="AP53" s="56">
        <f t="shared" si="1"/>
        <v>728.94691867852623</v>
      </c>
      <c r="AQ53" s="56">
        <f t="shared" si="1"/>
        <v>733.6662600592972</v>
      </c>
      <c r="AR53" s="56">
        <f t="shared" si="1"/>
        <v>738.38560144006794</v>
      </c>
      <c r="AS53" s="56">
        <f t="shared" si="1"/>
        <v>743.10494282083903</v>
      </c>
      <c r="AT53" s="56">
        <f t="shared" si="1"/>
        <v>747.82428420161</v>
      </c>
      <c r="AU53" s="56">
        <f t="shared" si="1"/>
        <v>752.54362558238097</v>
      </c>
    </row>
    <row r="54" spans="2:47">
      <c r="B54" t="s">
        <v>954</v>
      </c>
      <c r="C54" s="56">
        <f t="shared" si="0"/>
        <v>0</v>
      </c>
      <c r="D54" s="56">
        <f t="shared" si="1"/>
        <v>0</v>
      </c>
      <c r="E54" s="56">
        <f t="shared" si="1"/>
        <v>0</v>
      </c>
      <c r="F54" s="56">
        <f t="shared" si="1"/>
        <v>0</v>
      </c>
      <c r="G54" s="56">
        <f t="shared" si="1"/>
        <v>0</v>
      </c>
      <c r="H54" s="56">
        <f t="shared" si="1"/>
        <v>0</v>
      </c>
      <c r="I54" s="56">
        <f t="shared" si="1"/>
        <v>0</v>
      </c>
      <c r="J54" s="56">
        <f t="shared" si="1"/>
        <v>0</v>
      </c>
      <c r="K54" s="56">
        <f t="shared" si="1"/>
        <v>0</v>
      </c>
      <c r="L54" s="56">
        <f t="shared" si="1"/>
        <v>0</v>
      </c>
      <c r="M54" s="56">
        <f t="shared" si="1"/>
        <v>0</v>
      </c>
      <c r="N54" s="56">
        <f t="shared" si="1"/>
        <v>0</v>
      </c>
      <c r="O54" s="56">
        <f t="shared" si="1"/>
        <v>0</v>
      </c>
      <c r="P54" s="56">
        <f t="shared" si="1"/>
        <v>0</v>
      </c>
      <c r="Q54" s="56">
        <f t="shared" si="1"/>
        <v>0</v>
      </c>
      <c r="R54" s="56">
        <f t="shared" si="1"/>
        <v>0</v>
      </c>
      <c r="S54" s="56">
        <f t="shared" si="1"/>
        <v>0</v>
      </c>
      <c r="T54" s="56">
        <f t="shared" si="1"/>
        <v>0</v>
      </c>
      <c r="U54" s="56">
        <f t="shared" si="1"/>
        <v>0</v>
      </c>
      <c r="V54" s="56">
        <f t="shared" si="1"/>
        <v>0</v>
      </c>
      <c r="W54" s="56">
        <f t="shared" si="1"/>
        <v>0</v>
      </c>
      <c r="X54" s="56">
        <f t="shared" si="1"/>
        <v>0</v>
      </c>
      <c r="Y54" s="56">
        <f t="shared" si="1"/>
        <v>0</v>
      </c>
      <c r="Z54" s="56">
        <f t="shared" si="1"/>
        <v>0</v>
      </c>
      <c r="AA54" s="56">
        <f t="shared" si="1"/>
        <v>0</v>
      </c>
      <c r="AB54" s="56">
        <f t="shared" si="1"/>
        <v>0</v>
      </c>
      <c r="AC54" s="56">
        <f t="shared" si="1"/>
        <v>0</v>
      </c>
      <c r="AD54" s="56">
        <f t="shared" si="1"/>
        <v>0</v>
      </c>
      <c r="AE54" s="56">
        <f t="shared" si="1"/>
        <v>0</v>
      </c>
      <c r="AF54" s="56">
        <f t="shared" si="1"/>
        <v>0</v>
      </c>
      <c r="AG54" s="56">
        <f t="shared" si="1"/>
        <v>0</v>
      </c>
      <c r="AH54" s="56">
        <f t="shared" si="1"/>
        <v>0</v>
      </c>
      <c r="AI54" s="56">
        <f t="shared" si="1"/>
        <v>0</v>
      </c>
      <c r="AJ54" s="56">
        <f t="shared" si="1"/>
        <v>0</v>
      </c>
      <c r="AK54" s="56">
        <f t="shared" si="1"/>
        <v>0</v>
      </c>
      <c r="AL54" s="56">
        <f t="shared" si="1"/>
        <v>0</v>
      </c>
      <c r="AM54" s="56">
        <f t="shared" si="1"/>
        <v>0</v>
      </c>
      <c r="AN54" s="56">
        <f t="shared" si="1"/>
        <v>0</v>
      </c>
      <c r="AO54" s="56">
        <f t="shared" si="1"/>
        <v>0</v>
      </c>
      <c r="AP54" s="56">
        <f t="shared" si="1"/>
        <v>0</v>
      </c>
      <c r="AQ54" s="56">
        <f t="shared" si="1"/>
        <v>0</v>
      </c>
      <c r="AR54" s="56">
        <f t="shared" si="1"/>
        <v>0</v>
      </c>
      <c r="AS54" s="56">
        <f t="shared" si="1"/>
        <v>0</v>
      </c>
      <c r="AT54" s="56">
        <f t="shared" si="1"/>
        <v>0</v>
      </c>
      <c r="AU54" s="56">
        <f t="shared" si="1"/>
        <v>0</v>
      </c>
    </row>
    <row r="55" spans="2:47">
      <c r="B55" t="s">
        <v>955</v>
      </c>
      <c r="C55" s="56">
        <f t="shared" si="0"/>
        <v>0</v>
      </c>
      <c r="D55" s="56">
        <f t="shared" si="1"/>
        <v>0</v>
      </c>
      <c r="E55" s="56">
        <f t="shared" si="1"/>
        <v>0</v>
      </c>
      <c r="F55" s="56">
        <f t="shared" si="1"/>
        <v>0</v>
      </c>
      <c r="G55" s="56">
        <f t="shared" si="1"/>
        <v>0</v>
      </c>
      <c r="H55" s="56">
        <f t="shared" si="1"/>
        <v>0</v>
      </c>
      <c r="I55" s="56">
        <f t="shared" si="1"/>
        <v>0</v>
      </c>
      <c r="J55" s="56">
        <f t="shared" si="1"/>
        <v>0</v>
      </c>
      <c r="K55" s="56">
        <f t="shared" si="1"/>
        <v>0</v>
      </c>
      <c r="L55" s="56">
        <f t="shared" si="1"/>
        <v>0</v>
      </c>
      <c r="M55" s="56">
        <f t="shared" si="1"/>
        <v>0</v>
      </c>
      <c r="N55" s="56">
        <f t="shared" si="1"/>
        <v>0</v>
      </c>
      <c r="O55" s="56">
        <f t="shared" si="1"/>
        <v>0</v>
      </c>
      <c r="P55" s="56">
        <f t="shared" si="1"/>
        <v>0</v>
      </c>
      <c r="Q55" s="56">
        <f t="shared" si="1"/>
        <v>0</v>
      </c>
      <c r="R55" s="56">
        <f t="shared" si="1"/>
        <v>0</v>
      </c>
      <c r="S55" s="56">
        <f t="shared" si="1"/>
        <v>0</v>
      </c>
      <c r="T55" s="56">
        <f t="shared" si="1"/>
        <v>0</v>
      </c>
      <c r="U55" s="56">
        <f t="shared" si="1"/>
        <v>0</v>
      </c>
      <c r="V55" s="56">
        <f t="shared" si="1"/>
        <v>0</v>
      </c>
      <c r="W55" s="56">
        <f t="shared" si="1"/>
        <v>0</v>
      </c>
      <c r="X55" s="56">
        <f t="shared" si="1"/>
        <v>0</v>
      </c>
      <c r="Y55" s="56">
        <f t="shared" si="1"/>
        <v>0</v>
      </c>
      <c r="Z55" s="56">
        <f t="shared" si="1"/>
        <v>0</v>
      </c>
      <c r="AA55" s="56">
        <f t="shared" si="1"/>
        <v>0</v>
      </c>
      <c r="AB55" s="56">
        <f t="shared" si="1"/>
        <v>0</v>
      </c>
      <c r="AC55" s="56">
        <f t="shared" si="1"/>
        <v>0</v>
      </c>
      <c r="AD55" s="56">
        <f t="shared" si="1"/>
        <v>0</v>
      </c>
      <c r="AE55" s="56">
        <f t="shared" si="1"/>
        <v>0</v>
      </c>
      <c r="AF55" s="56">
        <f t="shared" si="1"/>
        <v>0</v>
      </c>
      <c r="AG55" s="56">
        <f t="shared" si="1"/>
        <v>0</v>
      </c>
      <c r="AH55" s="56">
        <f t="shared" si="1"/>
        <v>0</v>
      </c>
      <c r="AI55" s="56">
        <f t="shared" si="1"/>
        <v>0</v>
      </c>
      <c r="AJ55" s="56">
        <f t="shared" si="1"/>
        <v>0</v>
      </c>
      <c r="AK55" s="56">
        <f t="shared" si="1"/>
        <v>0</v>
      </c>
      <c r="AL55" s="56">
        <f t="shared" si="1"/>
        <v>0</v>
      </c>
      <c r="AM55" s="56">
        <f t="shared" si="1"/>
        <v>0</v>
      </c>
      <c r="AN55" s="56">
        <f t="shared" si="1"/>
        <v>0</v>
      </c>
      <c r="AO55" s="56">
        <f t="shared" si="1"/>
        <v>0</v>
      </c>
      <c r="AP55" s="56">
        <f t="shared" si="1"/>
        <v>0</v>
      </c>
      <c r="AQ55" s="56">
        <f t="shared" si="1"/>
        <v>0</v>
      </c>
      <c r="AR55" s="56">
        <f t="shared" si="1"/>
        <v>0</v>
      </c>
      <c r="AS55" s="56">
        <f t="shared" si="1"/>
        <v>0</v>
      </c>
      <c r="AT55" s="56">
        <f t="shared" si="1"/>
        <v>0</v>
      </c>
      <c r="AU55" s="56">
        <f t="shared" si="1"/>
        <v>0</v>
      </c>
    </row>
  </sheetData>
  <phoneticPr fontId="3"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AU49"/>
  <sheetViews>
    <sheetView zoomScale="85" workbookViewId="0">
      <selection activeCell="K14" sqref="K14"/>
    </sheetView>
  </sheetViews>
  <sheetFormatPr defaultColWidth="8.7265625" defaultRowHeight="14.5"/>
  <cols>
    <col min="1" max="1" width="5.81640625" customWidth="1"/>
    <col min="2" max="2" width="21.26953125" bestFit="1" customWidth="1"/>
    <col min="3" max="3" width="12.7265625" bestFit="1" customWidth="1"/>
    <col min="4" max="10" width="11" bestFit="1" customWidth="1"/>
    <col min="11" max="11" width="8.81640625" bestFit="1" customWidth="1"/>
    <col min="12" max="47" width="11" bestFit="1" customWidth="1"/>
  </cols>
  <sheetData>
    <row r="1" spans="1:47" ht="21">
      <c r="A1" s="106" t="s">
        <v>957</v>
      </c>
    </row>
    <row r="2" spans="1:47" ht="21">
      <c r="A2" s="106"/>
    </row>
    <row r="3" spans="1:47" s="58" customFormat="1">
      <c r="A3" s="155" t="s">
        <v>512</v>
      </c>
    </row>
    <row r="4" spans="1:47" s="54" customFormat="1">
      <c r="B4" s="54" t="s">
        <v>481</v>
      </c>
      <c r="C4" s="54">
        <v>2006</v>
      </c>
      <c r="D4" s="54">
        <v>2007</v>
      </c>
      <c r="E4" s="54">
        <v>2008</v>
      </c>
      <c r="F4" s="54">
        <v>2009</v>
      </c>
      <c r="G4" s="54">
        <v>2010</v>
      </c>
      <c r="H4" s="54">
        <v>2011</v>
      </c>
      <c r="I4" s="54">
        <v>2012</v>
      </c>
      <c r="J4" s="54">
        <v>2013</v>
      </c>
      <c r="K4" s="54">
        <v>2014</v>
      </c>
      <c r="L4" s="54">
        <v>2015</v>
      </c>
      <c r="M4" s="54">
        <v>2016</v>
      </c>
      <c r="N4" s="54">
        <v>2017</v>
      </c>
      <c r="O4" s="54">
        <v>2018</v>
      </c>
      <c r="P4" s="54">
        <v>2019</v>
      </c>
      <c r="Q4" s="54">
        <v>2020</v>
      </c>
      <c r="R4" s="54">
        <v>2021</v>
      </c>
      <c r="S4" s="54">
        <v>2022</v>
      </c>
      <c r="T4" s="54">
        <v>2023</v>
      </c>
      <c r="U4" s="54">
        <v>2024</v>
      </c>
      <c r="V4" s="54">
        <v>2025</v>
      </c>
      <c r="W4" s="54">
        <v>2026</v>
      </c>
      <c r="X4" s="54">
        <v>2027</v>
      </c>
      <c r="Y4" s="54">
        <v>2028</v>
      </c>
      <c r="Z4" s="54">
        <v>2029</v>
      </c>
      <c r="AA4" s="54">
        <v>2030</v>
      </c>
      <c r="AB4" s="54">
        <v>2031</v>
      </c>
      <c r="AC4" s="54">
        <v>2032</v>
      </c>
      <c r="AD4" s="54">
        <v>2033</v>
      </c>
      <c r="AE4" s="54">
        <v>2034</v>
      </c>
      <c r="AF4" s="54">
        <v>2035</v>
      </c>
      <c r="AG4" s="54">
        <v>2036</v>
      </c>
      <c r="AH4" s="54">
        <v>2037</v>
      </c>
      <c r="AI4" s="54">
        <v>2038</v>
      </c>
      <c r="AJ4" s="54">
        <v>2039</v>
      </c>
      <c r="AK4" s="54">
        <v>2040</v>
      </c>
      <c r="AL4" s="54">
        <v>2041</v>
      </c>
      <c r="AM4" s="54">
        <v>2042</v>
      </c>
      <c r="AN4" s="54">
        <v>2043</v>
      </c>
      <c r="AO4" s="54">
        <v>2044</v>
      </c>
      <c r="AP4" s="54">
        <v>2045</v>
      </c>
      <c r="AQ4" s="54">
        <v>2046</v>
      </c>
      <c r="AR4" s="54">
        <v>2047</v>
      </c>
      <c r="AS4" s="54">
        <v>2048</v>
      </c>
      <c r="AT4" s="54">
        <v>2049</v>
      </c>
      <c r="AU4" s="54">
        <v>2050</v>
      </c>
    </row>
    <row r="5" spans="1:47">
      <c r="B5" s="54" t="s">
        <v>958</v>
      </c>
      <c r="C5" s="156">
        <f>Commercial_2!C5*'BTU Conversion Factor'!$F$4</f>
        <v>15035794942000.002</v>
      </c>
      <c r="D5" s="156">
        <f>Commercial_2!D5*'BTU Conversion Factor'!$F$4</f>
        <v>14955083453333.338</v>
      </c>
      <c r="E5" s="156">
        <f>Commercial_2!E5*'BTU Conversion Factor'!$F$4</f>
        <v>14874371964666.688</v>
      </c>
      <c r="F5" s="156">
        <f>Commercial_2!F5*'BTU Conversion Factor'!$F$4</f>
        <v>14793660476000.012</v>
      </c>
      <c r="G5" s="156">
        <f>Commercial_2!G5*'BTU Conversion Factor'!$F$4</f>
        <v>14712948987333.336</v>
      </c>
      <c r="H5" s="156">
        <f>Commercial_2!H5*'BTU Conversion Factor'!$F$4</f>
        <v>14632237498666.688</v>
      </c>
      <c r="I5" s="156">
        <f>Commercial_2!I5*'BTU Conversion Factor'!$F$4</f>
        <v>14551526009999.998</v>
      </c>
      <c r="J5" s="156">
        <f>Commercial_2!J5*'BTU Conversion Factor'!$F$4</f>
        <v>15501610208000</v>
      </c>
      <c r="K5" s="156">
        <f>Commercial_2!K5*'BTU Conversion Factor'!$F$4</f>
        <v>14710472070000</v>
      </c>
      <c r="L5" s="156">
        <f>Commercial_2!L5*'BTU Conversion Factor'!$F$4</f>
        <v>14877663990000</v>
      </c>
      <c r="M5" s="156">
        <f>Commercial_2!M5*'BTU Conversion Factor'!$F$4</f>
        <v>14904960629999.998</v>
      </c>
      <c r="N5" s="156">
        <f>Commercial_2!N5*'BTU Conversion Factor'!$F$4</f>
        <v>13888738948000.002</v>
      </c>
      <c r="O5" s="156">
        <f>Commercial_2!O5*'BTU Conversion Factor'!$F$4</f>
        <v>14103965372000.002</v>
      </c>
      <c r="P5" s="156">
        <f>Commercial_2!P5*'BTU Conversion Factor'!$F$4</f>
        <v>12282123168000</v>
      </c>
      <c r="Q5" s="156">
        <f>Commercial_2!Q5*'BTU Conversion Factor'!$F$4</f>
        <v>11620065912000</v>
      </c>
      <c r="R5" s="156">
        <f>Commercial_2!R5*'BTU Conversion Factor'!$F$4</f>
        <v>12197048640000</v>
      </c>
      <c r="S5" s="156">
        <f>Commercial_2!S5*'BTU Conversion Factor'!$F$4</f>
        <v>12522411714970.297</v>
      </c>
      <c r="T5" s="156">
        <f>Commercial_2!T5*'BTU Conversion Factor'!$F$4</f>
        <v>12649555285861.211</v>
      </c>
      <c r="U5" s="156">
        <f>Commercial_2!U5*'BTU Conversion Factor'!$F$4</f>
        <v>12777180313319.811</v>
      </c>
      <c r="V5" s="156">
        <f>Commercial_2!V5*'BTU Conversion Factor'!$F$4</f>
        <v>12846674120053.375</v>
      </c>
      <c r="W5" s="156">
        <f>Commercial_2!W5*'BTU Conversion Factor'!$F$4</f>
        <v>12942217224061.814</v>
      </c>
      <c r="X5" s="156">
        <f>Commercial_2!X5*'BTU Conversion Factor'!$F$4</f>
        <v>13037760328070.252</v>
      </c>
      <c r="Y5" s="156">
        <f>Commercial_2!Y5*'BTU Conversion Factor'!$F$4</f>
        <v>13133303432078.691</v>
      </c>
      <c r="Z5" s="156">
        <f>Commercial_2!Z5*'BTU Conversion Factor'!$F$4</f>
        <v>13228846536087.129</v>
      </c>
      <c r="AA5" s="156">
        <f>Commercial_2!AA5*'BTU Conversion Factor'!$F$4</f>
        <v>13324389640095.568</v>
      </c>
      <c r="AB5" s="156">
        <f>Commercial_2!AB5*'BTU Conversion Factor'!$F$4</f>
        <v>13419932744104.004</v>
      </c>
      <c r="AC5" s="156">
        <f>Commercial_2!AC5*'BTU Conversion Factor'!$F$4</f>
        <v>13515475848112.445</v>
      </c>
      <c r="AD5" s="156">
        <f>Commercial_2!AD5*'BTU Conversion Factor'!$F$4</f>
        <v>13611018952120.885</v>
      </c>
      <c r="AE5" s="156">
        <f>Commercial_2!AE5*'BTU Conversion Factor'!$F$4</f>
        <v>13706562056129.318</v>
      </c>
      <c r="AF5" s="156">
        <f>Commercial_2!AF5*'BTU Conversion Factor'!$F$4</f>
        <v>13802105160137.756</v>
      </c>
      <c r="AG5" s="156">
        <f>Commercial_2!AG5*'BTU Conversion Factor'!$F$4</f>
        <v>13897648264146.168</v>
      </c>
      <c r="AH5" s="156">
        <f>Commercial_2!AH5*'BTU Conversion Factor'!$F$4</f>
        <v>13993191368154.609</v>
      </c>
      <c r="AI5" s="156">
        <f>Commercial_2!AI5*'BTU Conversion Factor'!$F$4</f>
        <v>14088734472163.043</v>
      </c>
      <c r="AJ5" s="156">
        <f>Commercial_2!AJ5*'BTU Conversion Factor'!$F$4</f>
        <v>14184277576171.482</v>
      </c>
      <c r="AK5" s="156">
        <f>Commercial_2!AK5*'BTU Conversion Factor'!$F$4</f>
        <v>14279820680179.92</v>
      </c>
      <c r="AL5" s="156">
        <f>Commercial_2!AL5*'BTU Conversion Factor'!$F$4</f>
        <v>14375363784188.357</v>
      </c>
      <c r="AM5" s="156">
        <f>Commercial_2!AM5*'BTU Conversion Factor'!$F$4</f>
        <v>14470906888196.799</v>
      </c>
      <c r="AN5" s="156">
        <f>Commercial_2!AN5*'BTU Conversion Factor'!$F$4</f>
        <v>14566449992205.236</v>
      </c>
      <c r="AO5" s="156">
        <f>Commercial_2!AO5*'BTU Conversion Factor'!$F$4</f>
        <v>14661993096213.672</v>
      </c>
      <c r="AP5" s="156">
        <f>Commercial_2!AP5*'BTU Conversion Factor'!$F$4</f>
        <v>14757536200222.113</v>
      </c>
      <c r="AQ5" s="156">
        <f>Commercial_2!AQ5*'BTU Conversion Factor'!$F$4</f>
        <v>14853079304230.553</v>
      </c>
      <c r="AR5" s="156">
        <f>Commercial_2!AR5*'BTU Conversion Factor'!$F$4</f>
        <v>14948622408238.988</v>
      </c>
      <c r="AS5" s="156">
        <f>Commercial_2!AS5*'BTU Conversion Factor'!$F$4</f>
        <v>15044165512247.428</v>
      </c>
      <c r="AT5" s="156">
        <f>Commercial_2!AT5*'BTU Conversion Factor'!$F$4</f>
        <v>15139708616255.869</v>
      </c>
      <c r="AU5" s="156">
        <f>Commercial_2!AU5*'BTU Conversion Factor'!$F$4</f>
        <v>15235251720264.305</v>
      </c>
    </row>
    <row r="6" spans="1:47">
      <c r="B6" s="54" t="s">
        <v>959</v>
      </c>
      <c r="C6" s="156">
        <f>Commercial_2!C6*'BTU Conversion Factor'!$F$4</f>
        <v>0</v>
      </c>
      <c r="D6" s="156">
        <f>Commercial_2!D6*'BTU Conversion Factor'!$F$4</f>
        <v>0</v>
      </c>
      <c r="E6" s="156">
        <f>Commercial_2!E6*'BTU Conversion Factor'!$F$4</f>
        <v>0</v>
      </c>
      <c r="F6" s="156">
        <f>Commercial_2!F6*'BTU Conversion Factor'!$F$4</f>
        <v>0</v>
      </c>
      <c r="G6" s="156">
        <f>Commercial_2!G6*'BTU Conversion Factor'!$F$4</f>
        <v>0</v>
      </c>
      <c r="H6" s="156">
        <f>Commercial_2!H6*'BTU Conversion Factor'!$F$4</f>
        <v>0</v>
      </c>
      <c r="I6" s="156">
        <f>Commercial_2!I6*'BTU Conversion Factor'!$F$4</f>
        <v>0</v>
      </c>
      <c r="J6" s="156">
        <f>Commercial_2!J6*'BTU Conversion Factor'!$F$4</f>
        <v>0</v>
      </c>
      <c r="K6" s="156">
        <f>Commercial_2!K6*'BTU Conversion Factor'!$F$4</f>
        <v>0</v>
      </c>
      <c r="L6" s="156">
        <f>Commercial_2!L6*'BTU Conversion Factor'!$F$4</f>
        <v>0</v>
      </c>
      <c r="M6" s="156">
        <f>Commercial_2!M6*'BTU Conversion Factor'!$F$4</f>
        <v>0</v>
      </c>
      <c r="N6" s="156">
        <f>Commercial_2!N6*'BTU Conversion Factor'!$F$4</f>
        <v>0</v>
      </c>
      <c r="O6" s="156">
        <f>Commercial_2!O6*'BTU Conversion Factor'!$F$4</f>
        <v>0</v>
      </c>
      <c r="P6" s="156">
        <f>Commercial_2!P6*'BTU Conversion Factor'!$F$4</f>
        <v>0</v>
      </c>
      <c r="Q6" s="156">
        <f>Commercial_2!Q6*'BTU Conversion Factor'!$F$4</f>
        <v>0</v>
      </c>
      <c r="R6" s="156">
        <f>Commercial_2!R6*'BTU Conversion Factor'!$F$4</f>
        <v>0</v>
      </c>
      <c r="S6" s="156">
        <f>Commercial_2!S6*'BTU Conversion Factor'!$F$4</f>
        <v>0</v>
      </c>
      <c r="T6" s="156">
        <f>Commercial_2!T6*'BTU Conversion Factor'!$F$4</f>
        <v>0</v>
      </c>
      <c r="U6" s="156">
        <f>Commercial_2!U6*'BTU Conversion Factor'!$F$4</f>
        <v>0</v>
      </c>
      <c r="V6" s="156">
        <f>Commercial_2!V6*'BTU Conversion Factor'!$F$4</f>
        <v>0</v>
      </c>
      <c r="W6" s="156">
        <f>Commercial_2!W6*'BTU Conversion Factor'!$F$4</f>
        <v>0</v>
      </c>
      <c r="X6" s="156">
        <f>Commercial_2!X6*'BTU Conversion Factor'!$F$4</f>
        <v>0</v>
      </c>
      <c r="Y6" s="156">
        <f>Commercial_2!Y6*'BTU Conversion Factor'!$F$4</f>
        <v>0</v>
      </c>
      <c r="Z6" s="156">
        <f>Commercial_2!Z6*'BTU Conversion Factor'!$F$4</f>
        <v>0</v>
      </c>
      <c r="AA6" s="156">
        <f>Commercial_2!AA6*'BTU Conversion Factor'!$F$4</f>
        <v>0</v>
      </c>
      <c r="AB6" s="156">
        <f>Commercial_2!AB6*'BTU Conversion Factor'!$F$4</f>
        <v>0</v>
      </c>
      <c r="AC6" s="156">
        <f>Commercial_2!AC6*'BTU Conversion Factor'!$F$4</f>
        <v>0</v>
      </c>
      <c r="AD6" s="156">
        <f>Commercial_2!AD6*'BTU Conversion Factor'!$F$4</f>
        <v>0</v>
      </c>
      <c r="AE6" s="156">
        <f>Commercial_2!AE6*'BTU Conversion Factor'!$F$4</f>
        <v>0</v>
      </c>
      <c r="AF6" s="156">
        <f>Commercial_2!AF6*'BTU Conversion Factor'!$F$4</f>
        <v>0</v>
      </c>
      <c r="AG6" s="156">
        <f>Commercial_2!AG6*'BTU Conversion Factor'!$F$4</f>
        <v>0</v>
      </c>
      <c r="AH6" s="156">
        <f>Commercial_2!AH6*'BTU Conversion Factor'!$F$4</f>
        <v>0</v>
      </c>
      <c r="AI6" s="156">
        <f>Commercial_2!AI6*'BTU Conversion Factor'!$F$4</f>
        <v>0</v>
      </c>
      <c r="AJ6" s="156">
        <f>Commercial_2!AJ6*'BTU Conversion Factor'!$F$4</f>
        <v>0</v>
      </c>
      <c r="AK6" s="156">
        <f>Commercial_2!AK6*'BTU Conversion Factor'!$F$4</f>
        <v>0</v>
      </c>
      <c r="AL6" s="156">
        <f>Commercial_2!AL6*'BTU Conversion Factor'!$F$4</f>
        <v>0</v>
      </c>
      <c r="AM6" s="156">
        <f>Commercial_2!AM6*'BTU Conversion Factor'!$F$4</f>
        <v>0</v>
      </c>
      <c r="AN6" s="156">
        <f>Commercial_2!AN6*'BTU Conversion Factor'!$F$4</f>
        <v>0</v>
      </c>
      <c r="AO6" s="156">
        <f>Commercial_2!AO6*'BTU Conversion Factor'!$F$4</f>
        <v>0</v>
      </c>
      <c r="AP6" s="156">
        <f>Commercial_2!AP6*'BTU Conversion Factor'!$F$4</f>
        <v>0</v>
      </c>
      <c r="AQ6" s="156">
        <f>Commercial_2!AQ6*'BTU Conversion Factor'!$F$4</f>
        <v>0</v>
      </c>
      <c r="AR6" s="156">
        <f>Commercial_2!AR6*'BTU Conversion Factor'!$F$4</f>
        <v>0</v>
      </c>
      <c r="AS6" s="156">
        <f>Commercial_2!AS6*'BTU Conversion Factor'!$F$4</f>
        <v>0</v>
      </c>
      <c r="AT6" s="156">
        <f>Commercial_2!AT6*'BTU Conversion Factor'!$F$4</f>
        <v>0</v>
      </c>
      <c r="AU6" s="156">
        <f>Commercial_2!AU6*'BTU Conversion Factor'!$F$4</f>
        <v>0</v>
      </c>
    </row>
    <row r="7" spans="1:47">
      <c r="B7" s="54" t="s">
        <v>960</v>
      </c>
      <c r="C7" s="156">
        <f>Commercial_2!C7*'BTU Conversion Factor'!$F$4</f>
        <v>0</v>
      </c>
      <c r="D7" s="156">
        <f>Commercial_2!D7*'BTU Conversion Factor'!$F$4</f>
        <v>0</v>
      </c>
      <c r="E7" s="156">
        <f>Commercial_2!E7*'BTU Conversion Factor'!$F$4</f>
        <v>0</v>
      </c>
      <c r="F7" s="156">
        <f>Commercial_2!F7*'BTU Conversion Factor'!$F$4</f>
        <v>0</v>
      </c>
      <c r="G7" s="156">
        <f>Commercial_2!G7*'BTU Conversion Factor'!$F$4</f>
        <v>0</v>
      </c>
      <c r="H7" s="156">
        <f>Commercial_2!H7*'BTU Conversion Factor'!$F$4</f>
        <v>0</v>
      </c>
      <c r="I7" s="156">
        <f>Commercial_2!I7*'BTU Conversion Factor'!$F$4</f>
        <v>0</v>
      </c>
      <c r="J7" s="156">
        <f>Commercial_2!J7*'BTU Conversion Factor'!$F$4</f>
        <v>0</v>
      </c>
      <c r="K7" s="156">
        <f>Commercial_2!K7*'BTU Conversion Factor'!$F$4</f>
        <v>0</v>
      </c>
      <c r="L7" s="156">
        <f>Commercial_2!L7*'BTU Conversion Factor'!$F$4</f>
        <v>0</v>
      </c>
      <c r="M7" s="156">
        <f>Commercial_2!M7*'BTU Conversion Factor'!$F$4</f>
        <v>0</v>
      </c>
      <c r="N7" s="156">
        <f>Commercial_2!N7*'BTU Conversion Factor'!$F$4</f>
        <v>0</v>
      </c>
      <c r="O7" s="156">
        <f>Commercial_2!O7*'BTU Conversion Factor'!$F$4</f>
        <v>0</v>
      </c>
      <c r="P7" s="156">
        <f>Commercial_2!P7*'BTU Conversion Factor'!$F$4</f>
        <v>0</v>
      </c>
      <c r="Q7" s="156">
        <f>Commercial_2!Q7*'BTU Conversion Factor'!$F$4</f>
        <v>0</v>
      </c>
      <c r="R7" s="156">
        <f>Commercial_2!R7*'BTU Conversion Factor'!$F$4</f>
        <v>0</v>
      </c>
      <c r="S7" s="156">
        <f>Commercial_2!S7*'BTU Conversion Factor'!$F$4</f>
        <v>0</v>
      </c>
      <c r="T7" s="156">
        <f>Commercial_2!T7*'BTU Conversion Factor'!$F$4</f>
        <v>0</v>
      </c>
      <c r="U7" s="156">
        <f>Commercial_2!U7*'BTU Conversion Factor'!$F$4</f>
        <v>0</v>
      </c>
      <c r="V7" s="156">
        <f>Commercial_2!V7*'BTU Conversion Factor'!$F$4</f>
        <v>0</v>
      </c>
      <c r="W7" s="156">
        <f>Commercial_2!W7*'BTU Conversion Factor'!$F$4</f>
        <v>0</v>
      </c>
      <c r="X7" s="156">
        <f>Commercial_2!X7*'BTU Conversion Factor'!$F$4</f>
        <v>0</v>
      </c>
      <c r="Y7" s="156">
        <f>Commercial_2!Y7*'BTU Conversion Factor'!$F$4</f>
        <v>0</v>
      </c>
      <c r="Z7" s="156">
        <f>Commercial_2!Z7*'BTU Conversion Factor'!$F$4</f>
        <v>0</v>
      </c>
      <c r="AA7" s="156">
        <f>Commercial_2!AA7*'BTU Conversion Factor'!$F$4</f>
        <v>0</v>
      </c>
      <c r="AB7" s="156">
        <f>Commercial_2!AB7*'BTU Conversion Factor'!$F$4</f>
        <v>0</v>
      </c>
      <c r="AC7" s="156">
        <f>Commercial_2!AC7*'BTU Conversion Factor'!$F$4</f>
        <v>0</v>
      </c>
      <c r="AD7" s="156">
        <f>Commercial_2!AD7*'BTU Conversion Factor'!$F$4</f>
        <v>0</v>
      </c>
      <c r="AE7" s="156">
        <f>Commercial_2!AE7*'BTU Conversion Factor'!$F$4</f>
        <v>0</v>
      </c>
      <c r="AF7" s="156">
        <f>Commercial_2!AF7*'BTU Conversion Factor'!$F$4</f>
        <v>0</v>
      </c>
      <c r="AG7" s="156">
        <f>Commercial_2!AG7*'BTU Conversion Factor'!$F$4</f>
        <v>0</v>
      </c>
      <c r="AH7" s="156">
        <f>Commercial_2!AH7*'BTU Conversion Factor'!$F$4</f>
        <v>0</v>
      </c>
      <c r="AI7" s="156">
        <f>Commercial_2!AI7*'BTU Conversion Factor'!$F$4</f>
        <v>0</v>
      </c>
      <c r="AJ7" s="156">
        <f>Commercial_2!AJ7*'BTU Conversion Factor'!$F$4</f>
        <v>0</v>
      </c>
      <c r="AK7" s="156">
        <f>Commercial_2!AK7*'BTU Conversion Factor'!$F$4</f>
        <v>0</v>
      </c>
      <c r="AL7" s="156">
        <f>Commercial_2!AL7*'BTU Conversion Factor'!$F$4</f>
        <v>0</v>
      </c>
      <c r="AM7" s="156">
        <f>Commercial_2!AM7*'BTU Conversion Factor'!$F$4</f>
        <v>0</v>
      </c>
      <c r="AN7" s="156">
        <f>Commercial_2!AN7*'BTU Conversion Factor'!$F$4</f>
        <v>0</v>
      </c>
      <c r="AO7" s="156">
        <f>Commercial_2!AO7*'BTU Conversion Factor'!$F$4</f>
        <v>0</v>
      </c>
      <c r="AP7" s="156">
        <f>Commercial_2!AP7*'BTU Conversion Factor'!$F$4</f>
        <v>0</v>
      </c>
      <c r="AQ7" s="156">
        <f>Commercial_2!AQ7*'BTU Conversion Factor'!$F$4</f>
        <v>0</v>
      </c>
      <c r="AR7" s="156">
        <f>Commercial_2!AR7*'BTU Conversion Factor'!$F$4</f>
        <v>0</v>
      </c>
      <c r="AS7" s="156">
        <f>Commercial_2!AS7*'BTU Conversion Factor'!$F$4</f>
        <v>0</v>
      </c>
      <c r="AT7" s="156">
        <f>Commercial_2!AT7*'BTU Conversion Factor'!$F$4</f>
        <v>0</v>
      </c>
      <c r="AU7" s="156">
        <f>Commercial_2!AU7*'BTU Conversion Factor'!$F$4</f>
        <v>0</v>
      </c>
    </row>
    <row r="8" spans="1:47">
      <c r="B8" s="54" t="s">
        <v>961</v>
      </c>
      <c r="C8" s="156">
        <f>Commercial_2!C8*'BTU Conversion Factor'!$F$4</f>
        <v>0</v>
      </c>
      <c r="D8" s="156">
        <f>Commercial_2!D8*'BTU Conversion Factor'!$F$4</f>
        <v>0</v>
      </c>
      <c r="E8" s="156">
        <f>Commercial_2!E8*'BTU Conversion Factor'!$F$4</f>
        <v>0</v>
      </c>
      <c r="F8" s="156">
        <f>Commercial_2!F8*'BTU Conversion Factor'!$F$4</f>
        <v>0</v>
      </c>
      <c r="G8" s="156">
        <f>Commercial_2!G8*'BTU Conversion Factor'!$F$4</f>
        <v>0</v>
      </c>
      <c r="H8" s="156">
        <f>Commercial_2!H8*'BTU Conversion Factor'!$F$4</f>
        <v>0</v>
      </c>
      <c r="I8" s="156">
        <f>Commercial_2!I8*'BTU Conversion Factor'!$F$4</f>
        <v>0</v>
      </c>
      <c r="J8" s="156">
        <f>Commercial_2!J8*'BTU Conversion Factor'!$F$4</f>
        <v>0</v>
      </c>
      <c r="K8" s="156">
        <f>Commercial_2!K8*'BTU Conversion Factor'!$F$4</f>
        <v>0</v>
      </c>
      <c r="L8" s="156">
        <f>Commercial_2!L8*'BTU Conversion Factor'!$F$4</f>
        <v>0</v>
      </c>
      <c r="M8" s="156">
        <f>Commercial_2!M8*'BTU Conversion Factor'!$F$4</f>
        <v>0</v>
      </c>
      <c r="N8" s="156">
        <f>Commercial_2!N8*'BTU Conversion Factor'!$F$4</f>
        <v>0</v>
      </c>
      <c r="O8" s="156">
        <f>Commercial_2!O8*'BTU Conversion Factor'!$F$4</f>
        <v>0</v>
      </c>
      <c r="P8" s="156">
        <f>Commercial_2!P8*'BTU Conversion Factor'!$F$4</f>
        <v>0</v>
      </c>
      <c r="Q8" s="156">
        <f>Commercial_2!Q8*'BTU Conversion Factor'!$F$4</f>
        <v>0</v>
      </c>
      <c r="R8" s="156">
        <f>Commercial_2!R8*'BTU Conversion Factor'!$F$4</f>
        <v>0</v>
      </c>
      <c r="S8" s="156">
        <f>Commercial_2!S8*'BTU Conversion Factor'!$F$4</f>
        <v>0</v>
      </c>
      <c r="T8" s="156">
        <f>Commercial_2!T8*'BTU Conversion Factor'!$F$4</f>
        <v>0</v>
      </c>
      <c r="U8" s="156">
        <f>Commercial_2!U8*'BTU Conversion Factor'!$F$4</f>
        <v>0</v>
      </c>
      <c r="V8" s="156">
        <f>Commercial_2!V8*'BTU Conversion Factor'!$F$4</f>
        <v>0</v>
      </c>
      <c r="W8" s="156">
        <f>Commercial_2!W8*'BTU Conversion Factor'!$F$4</f>
        <v>0</v>
      </c>
      <c r="X8" s="156">
        <f>Commercial_2!X8*'BTU Conversion Factor'!$F$4</f>
        <v>0</v>
      </c>
      <c r="Y8" s="156">
        <f>Commercial_2!Y8*'BTU Conversion Factor'!$F$4</f>
        <v>0</v>
      </c>
      <c r="Z8" s="156">
        <f>Commercial_2!Z8*'BTU Conversion Factor'!$F$4</f>
        <v>0</v>
      </c>
      <c r="AA8" s="156">
        <f>Commercial_2!AA8*'BTU Conversion Factor'!$F$4</f>
        <v>0</v>
      </c>
      <c r="AB8" s="156">
        <f>Commercial_2!AB8*'BTU Conversion Factor'!$F$4</f>
        <v>0</v>
      </c>
      <c r="AC8" s="156">
        <f>Commercial_2!AC8*'BTU Conversion Factor'!$F$4</f>
        <v>0</v>
      </c>
      <c r="AD8" s="156">
        <f>Commercial_2!AD8*'BTU Conversion Factor'!$F$4</f>
        <v>0</v>
      </c>
      <c r="AE8" s="156">
        <f>Commercial_2!AE8*'BTU Conversion Factor'!$F$4</f>
        <v>0</v>
      </c>
      <c r="AF8" s="156">
        <f>Commercial_2!AF8*'BTU Conversion Factor'!$F$4</f>
        <v>0</v>
      </c>
      <c r="AG8" s="156">
        <f>Commercial_2!AG8*'BTU Conversion Factor'!$F$4</f>
        <v>0</v>
      </c>
      <c r="AH8" s="156">
        <f>Commercial_2!AH8*'BTU Conversion Factor'!$F$4</f>
        <v>0</v>
      </c>
      <c r="AI8" s="156">
        <f>Commercial_2!AI8*'BTU Conversion Factor'!$F$4</f>
        <v>0</v>
      </c>
      <c r="AJ8" s="156">
        <f>Commercial_2!AJ8*'BTU Conversion Factor'!$F$4</f>
        <v>0</v>
      </c>
      <c r="AK8" s="156">
        <f>Commercial_2!AK8*'BTU Conversion Factor'!$F$4</f>
        <v>0</v>
      </c>
      <c r="AL8" s="156">
        <f>Commercial_2!AL8*'BTU Conversion Factor'!$F$4</f>
        <v>0</v>
      </c>
      <c r="AM8" s="156">
        <f>Commercial_2!AM8*'BTU Conversion Factor'!$F$4</f>
        <v>0</v>
      </c>
      <c r="AN8" s="156">
        <f>Commercial_2!AN8*'BTU Conversion Factor'!$F$4</f>
        <v>0</v>
      </c>
      <c r="AO8" s="156">
        <f>Commercial_2!AO8*'BTU Conversion Factor'!$F$4</f>
        <v>0</v>
      </c>
      <c r="AP8" s="156">
        <f>Commercial_2!AP8*'BTU Conversion Factor'!$F$4</f>
        <v>0</v>
      </c>
      <c r="AQ8" s="156">
        <f>Commercial_2!AQ8*'BTU Conversion Factor'!$F$4</f>
        <v>0</v>
      </c>
      <c r="AR8" s="156">
        <f>Commercial_2!AR8*'BTU Conversion Factor'!$F$4</f>
        <v>0</v>
      </c>
      <c r="AS8" s="156">
        <f>Commercial_2!AS8*'BTU Conversion Factor'!$F$4</f>
        <v>0</v>
      </c>
      <c r="AT8" s="156">
        <f>Commercial_2!AT8*'BTU Conversion Factor'!$F$4</f>
        <v>0</v>
      </c>
      <c r="AU8" s="156">
        <f>Commercial_2!AU8*'BTU Conversion Factor'!$F$4</f>
        <v>0</v>
      </c>
    </row>
    <row r="9" spans="1:47">
      <c r="B9" s="54" t="s">
        <v>962</v>
      </c>
      <c r="C9" s="156">
        <f>Commercial_2!C9*'BTU Conversion Factor'!$F$4</f>
        <v>0</v>
      </c>
      <c r="D9" s="156">
        <f>Commercial_2!D9*'BTU Conversion Factor'!$F$4</f>
        <v>0</v>
      </c>
      <c r="E9" s="156">
        <f>Commercial_2!E9*'BTU Conversion Factor'!$F$4</f>
        <v>0</v>
      </c>
      <c r="F9" s="156">
        <f>Commercial_2!F9*'BTU Conversion Factor'!$F$4</f>
        <v>0</v>
      </c>
      <c r="G9" s="156">
        <f>Commercial_2!G9*'BTU Conversion Factor'!$F$4</f>
        <v>0</v>
      </c>
      <c r="H9" s="156">
        <f>Commercial_2!H9*'BTU Conversion Factor'!$F$4</f>
        <v>0</v>
      </c>
      <c r="I9" s="156">
        <f>Commercial_2!I9*'BTU Conversion Factor'!$F$4</f>
        <v>0</v>
      </c>
      <c r="J9" s="156">
        <f>Commercial_2!J9*'BTU Conversion Factor'!$F$4</f>
        <v>0</v>
      </c>
      <c r="K9" s="156">
        <f>Commercial_2!K9*'BTU Conversion Factor'!$F$4</f>
        <v>0</v>
      </c>
      <c r="L9" s="156">
        <f>Commercial_2!L9*'BTU Conversion Factor'!$F$4</f>
        <v>0</v>
      </c>
      <c r="M9" s="156">
        <f>Commercial_2!M9*'BTU Conversion Factor'!$F$4</f>
        <v>0</v>
      </c>
      <c r="N9" s="156">
        <f>Commercial_2!N9*'BTU Conversion Factor'!$F$4</f>
        <v>0</v>
      </c>
      <c r="O9" s="156">
        <f>Commercial_2!O9*'BTU Conversion Factor'!$F$4</f>
        <v>0</v>
      </c>
      <c r="P9" s="156">
        <f>Commercial_2!P9*'BTU Conversion Factor'!$F$4</f>
        <v>0</v>
      </c>
      <c r="Q9" s="156">
        <f>Commercial_2!Q9*'BTU Conversion Factor'!$F$4</f>
        <v>0</v>
      </c>
      <c r="R9" s="156">
        <f>Commercial_2!R9*'BTU Conversion Factor'!$F$4</f>
        <v>0</v>
      </c>
      <c r="S9" s="156">
        <f>Commercial_2!S9*'BTU Conversion Factor'!$F$4</f>
        <v>0</v>
      </c>
      <c r="T9" s="156">
        <f>Commercial_2!T9*'BTU Conversion Factor'!$F$4</f>
        <v>0</v>
      </c>
      <c r="U9" s="156">
        <f>Commercial_2!U9*'BTU Conversion Factor'!$F$4</f>
        <v>0</v>
      </c>
      <c r="V9" s="156">
        <f>Commercial_2!V9*'BTU Conversion Factor'!$F$4</f>
        <v>0</v>
      </c>
      <c r="W9" s="156">
        <f>Commercial_2!W9*'BTU Conversion Factor'!$F$4</f>
        <v>0</v>
      </c>
      <c r="X9" s="156">
        <f>Commercial_2!X9*'BTU Conversion Factor'!$F$4</f>
        <v>0</v>
      </c>
      <c r="Y9" s="156">
        <f>Commercial_2!Y9*'BTU Conversion Factor'!$F$4</f>
        <v>0</v>
      </c>
      <c r="Z9" s="156">
        <f>Commercial_2!Z9*'BTU Conversion Factor'!$F$4</f>
        <v>0</v>
      </c>
      <c r="AA9" s="156">
        <f>Commercial_2!AA9*'BTU Conversion Factor'!$F$4</f>
        <v>0</v>
      </c>
      <c r="AB9" s="156">
        <f>Commercial_2!AB9*'BTU Conversion Factor'!$F$4</f>
        <v>0</v>
      </c>
      <c r="AC9" s="156">
        <f>Commercial_2!AC9*'BTU Conversion Factor'!$F$4</f>
        <v>0</v>
      </c>
      <c r="AD9" s="156">
        <f>Commercial_2!AD9*'BTU Conversion Factor'!$F$4</f>
        <v>0</v>
      </c>
      <c r="AE9" s="156">
        <f>Commercial_2!AE9*'BTU Conversion Factor'!$F$4</f>
        <v>0</v>
      </c>
      <c r="AF9" s="156">
        <f>Commercial_2!AF9*'BTU Conversion Factor'!$F$4</f>
        <v>0</v>
      </c>
      <c r="AG9" s="156">
        <f>Commercial_2!AG9*'BTU Conversion Factor'!$F$4</f>
        <v>0</v>
      </c>
      <c r="AH9" s="156">
        <f>Commercial_2!AH9*'BTU Conversion Factor'!$F$4</f>
        <v>0</v>
      </c>
      <c r="AI9" s="156">
        <f>Commercial_2!AI9*'BTU Conversion Factor'!$F$4</f>
        <v>0</v>
      </c>
      <c r="AJ9" s="156">
        <f>Commercial_2!AJ9*'BTU Conversion Factor'!$F$4</f>
        <v>0</v>
      </c>
      <c r="AK9" s="156">
        <f>Commercial_2!AK9*'BTU Conversion Factor'!$F$4</f>
        <v>0</v>
      </c>
      <c r="AL9" s="156">
        <f>Commercial_2!AL9*'BTU Conversion Factor'!$F$4</f>
        <v>0</v>
      </c>
      <c r="AM9" s="156">
        <f>Commercial_2!AM9*'BTU Conversion Factor'!$F$4</f>
        <v>0</v>
      </c>
      <c r="AN9" s="156">
        <f>Commercial_2!AN9*'BTU Conversion Factor'!$F$4</f>
        <v>0</v>
      </c>
      <c r="AO9" s="156">
        <f>Commercial_2!AO9*'BTU Conversion Factor'!$F$4</f>
        <v>0</v>
      </c>
      <c r="AP9" s="156">
        <f>Commercial_2!AP9*'BTU Conversion Factor'!$F$4</f>
        <v>0</v>
      </c>
      <c r="AQ9" s="156">
        <f>Commercial_2!AQ9*'BTU Conversion Factor'!$F$4</f>
        <v>0</v>
      </c>
      <c r="AR9" s="156">
        <f>Commercial_2!AR9*'BTU Conversion Factor'!$F$4</f>
        <v>0</v>
      </c>
      <c r="AS9" s="156">
        <f>Commercial_2!AS9*'BTU Conversion Factor'!$F$4</f>
        <v>0</v>
      </c>
      <c r="AT9" s="156">
        <f>Commercial_2!AT9*'BTU Conversion Factor'!$F$4</f>
        <v>0</v>
      </c>
      <c r="AU9" s="156">
        <f>Commercial_2!AU9*'BTU Conversion Factor'!$F$4</f>
        <v>0</v>
      </c>
    </row>
    <row r="10" spans="1:47">
      <c r="B10" s="54" t="s">
        <v>963</v>
      </c>
      <c r="C10" s="156">
        <f>Commercial_2!C10*'BTU Conversion Factor'!$F$4</f>
        <v>0</v>
      </c>
      <c r="D10" s="156">
        <f>Commercial_2!D10*'BTU Conversion Factor'!$F$4</f>
        <v>0</v>
      </c>
      <c r="E10" s="156">
        <f>Commercial_2!E10*'BTU Conversion Factor'!$F$4</f>
        <v>0</v>
      </c>
      <c r="F10" s="156">
        <f>Commercial_2!F10*'BTU Conversion Factor'!$F$4</f>
        <v>0</v>
      </c>
      <c r="G10" s="156">
        <f>Commercial_2!G10*'BTU Conversion Factor'!$F$4</f>
        <v>0</v>
      </c>
      <c r="H10" s="156">
        <f>Commercial_2!H10*'BTU Conversion Factor'!$F$4</f>
        <v>0</v>
      </c>
      <c r="I10" s="156">
        <f>Commercial_2!I10*'BTU Conversion Factor'!$F$4</f>
        <v>0</v>
      </c>
      <c r="J10" s="156">
        <f>Commercial_2!J10*'BTU Conversion Factor'!$F$4</f>
        <v>0</v>
      </c>
      <c r="K10" s="156">
        <f>Commercial_2!K10*'BTU Conversion Factor'!$F$4</f>
        <v>0</v>
      </c>
      <c r="L10" s="156">
        <f>Commercial_2!L10*'BTU Conversion Factor'!$F$4</f>
        <v>0</v>
      </c>
      <c r="M10" s="156">
        <f>Commercial_2!M10*'BTU Conversion Factor'!$F$4</f>
        <v>0</v>
      </c>
      <c r="N10" s="156">
        <f>Commercial_2!N10*'BTU Conversion Factor'!$F$4</f>
        <v>0</v>
      </c>
      <c r="O10" s="156">
        <f>Commercial_2!O10*'BTU Conversion Factor'!$F$4</f>
        <v>0</v>
      </c>
      <c r="P10" s="156">
        <f>Commercial_2!P10*'BTU Conversion Factor'!$F$4</f>
        <v>0</v>
      </c>
      <c r="Q10" s="156">
        <f>Commercial_2!Q10*'BTU Conversion Factor'!$F$4</f>
        <v>0</v>
      </c>
      <c r="R10" s="156">
        <f>Commercial_2!R10*'BTU Conversion Factor'!$F$4</f>
        <v>0</v>
      </c>
      <c r="S10" s="156">
        <f>Commercial_2!S10*'BTU Conversion Factor'!$F$4</f>
        <v>0</v>
      </c>
      <c r="T10" s="156">
        <f>Commercial_2!T10*'BTU Conversion Factor'!$F$4</f>
        <v>0</v>
      </c>
      <c r="U10" s="156">
        <f>Commercial_2!U10*'BTU Conversion Factor'!$F$4</f>
        <v>0</v>
      </c>
      <c r="V10" s="156">
        <f>Commercial_2!V10*'BTU Conversion Factor'!$F$4</f>
        <v>0</v>
      </c>
      <c r="W10" s="156">
        <f>Commercial_2!W10*'BTU Conversion Factor'!$F$4</f>
        <v>0</v>
      </c>
      <c r="X10" s="156">
        <f>Commercial_2!X10*'BTU Conversion Factor'!$F$4</f>
        <v>0</v>
      </c>
      <c r="Y10" s="156">
        <f>Commercial_2!Y10*'BTU Conversion Factor'!$F$4</f>
        <v>0</v>
      </c>
      <c r="Z10" s="156">
        <f>Commercial_2!Z10*'BTU Conversion Factor'!$F$4</f>
        <v>0</v>
      </c>
      <c r="AA10" s="156">
        <f>Commercial_2!AA10*'BTU Conversion Factor'!$F$4</f>
        <v>0</v>
      </c>
      <c r="AB10" s="156">
        <f>Commercial_2!AB10*'BTU Conversion Factor'!$F$4</f>
        <v>0</v>
      </c>
      <c r="AC10" s="156">
        <f>Commercial_2!AC10*'BTU Conversion Factor'!$F$4</f>
        <v>0</v>
      </c>
      <c r="AD10" s="156">
        <f>Commercial_2!AD10*'BTU Conversion Factor'!$F$4</f>
        <v>0</v>
      </c>
      <c r="AE10" s="156">
        <f>Commercial_2!AE10*'BTU Conversion Factor'!$F$4</f>
        <v>0</v>
      </c>
      <c r="AF10" s="156">
        <f>Commercial_2!AF10*'BTU Conversion Factor'!$F$4</f>
        <v>0</v>
      </c>
      <c r="AG10" s="156">
        <f>Commercial_2!AG10*'BTU Conversion Factor'!$F$4</f>
        <v>0</v>
      </c>
      <c r="AH10" s="156">
        <f>Commercial_2!AH10*'BTU Conversion Factor'!$F$4</f>
        <v>0</v>
      </c>
      <c r="AI10" s="156">
        <f>Commercial_2!AI10*'BTU Conversion Factor'!$F$4</f>
        <v>0</v>
      </c>
      <c r="AJ10" s="156">
        <f>Commercial_2!AJ10*'BTU Conversion Factor'!$F$4</f>
        <v>0</v>
      </c>
      <c r="AK10" s="156">
        <f>Commercial_2!AK10*'BTU Conversion Factor'!$F$4</f>
        <v>0</v>
      </c>
      <c r="AL10" s="156">
        <f>Commercial_2!AL10*'BTU Conversion Factor'!$F$4</f>
        <v>0</v>
      </c>
      <c r="AM10" s="156">
        <f>Commercial_2!AM10*'BTU Conversion Factor'!$F$4</f>
        <v>0</v>
      </c>
      <c r="AN10" s="156">
        <f>Commercial_2!AN10*'BTU Conversion Factor'!$F$4</f>
        <v>0</v>
      </c>
      <c r="AO10" s="156">
        <f>Commercial_2!AO10*'BTU Conversion Factor'!$F$4</f>
        <v>0</v>
      </c>
      <c r="AP10" s="156">
        <f>Commercial_2!AP10*'BTU Conversion Factor'!$F$4</f>
        <v>0</v>
      </c>
      <c r="AQ10" s="156">
        <f>Commercial_2!AQ10*'BTU Conversion Factor'!$F$4</f>
        <v>0</v>
      </c>
      <c r="AR10" s="156">
        <f>Commercial_2!AR10*'BTU Conversion Factor'!$F$4</f>
        <v>0</v>
      </c>
      <c r="AS10" s="156">
        <f>Commercial_2!AS10*'BTU Conversion Factor'!$F$4</f>
        <v>0</v>
      </c>
      <c r="AT10" s="156">
        <f>Commercial_2!AT10*'BTU Conversion Factor'!$F$4</f>
        <v>0</v>
      </c>
      <c r="AU10" s="156">
        <f>Commercial_2!AU10*'BTU Conversion Factor'!$F$4</f>
        <v>0</v>
      </c>
    </row>
    <row r="12" spans="1:47" s="58" customFormat="1">
      <c r="A12" s="108" t="s">
        <v>937</v>
      </c>
    </row>
    <row r="13" spans="1:47" s="54" customFormat="1">
      <c r="B13" s="54" t="s">
        <v>481</v>
      </c>
      <c r="C13" s="54">
        <v>2006</v>
      </c>
      <c r="D13" s="54">
        <v>2007</v>
      </c>
      <c r="E13" s="54">
        <v>2008</v>
      </c>
      <c r="F13" s="54">
        <v>2009</v>
      </c>
      <c r="G13" s="54">
        <v>2010</v>
      </c>
      <c r="H13" s="54">
        <v>2011</v>
      </c>
      <c r="I13" s="54">
        <v>2012</v>
      </c>
      <c r="J13" s="54">
        <v>2013</v>
      </c>
      <c r="K13" s="54">
        <v>2014</v>
      </c>
      <c r="L13" s="54">
        <v>2015</v>
      </c>
      <c r="M13" s="54">
        <v>2016</v>
      </c>
      <c r="N13" s="54">
        <v>2017</v>
      </c>
      <c r="O13" s="54">
        <v>2018</v>
      </c>
      <c r="P13" s="54">
        <v>2019</v>
      </c>
      <c r="Q13" s="54">
        <v>2020</v>
      </c>
      <c r="R13" s="54">
        <v>2021</v>
      </c>
      <c r="S13" s="54">
        <v>2022</v>
      </c>
      <c r="T13" s="54">
        <v>2023</v>
      </c>
      <c r="U13" s="54">
        <v>2024</v>
      </c>
      <c r="V13" s="54">
        <v>2025</v>
      </c>
      <c r="W13" s="54">
        <v>2026</v>
      </c>
      <c r="X13" s="54">
        <v>2027</v>
      </c>
      <c r="Y13" s="54">
        <v>2028</v>
      </c>
      <c r="Z13" s="54">
        <v>2029</v>
      </c>
      <c r="AA13" s="54">
        <v>2030</v>
      </c>
      <c r="AB13" s="54">
        <v>2031</v>
      </c>
      <c r="AC13" s="54">
        <v>2032</v>
      </c>
      <c r="AD13" s="54">
        <v>2033</v>
      </c>
      <c r="AE13" s="54">
        <v>2034</v>
      </c>
      <c r="AF13" s="54">
        <v>2035</v>
      </c>
      <c r="AG13" s="54">
        <v>2036</v>
      </c>
      <c r="AH13" s="54">
        <v>2037</v>
      </c>
      <c r="AI13" s="54">
        <v>2038</v>
      </c>
      <c r="AJ13" s="54">
        <v>2039</v>
      </c>
      <c r="AK13" s="54">
        <v>2040</v>
      </c>
      <c r="AL13" s="54">
        <v>2041</v>
      </c>
      <c r="AM13" s="54">
        <v>2042</v>
      </c>
      <c r="AN13" s="54">
        <v>2043</v>
      </c>
      <c r="AO13" s="54">
        <v>2044</v>
      </c>
      <c r="AP13" s="54">
        <v>2045</v>
      </c>
      <c r="AQ13" s="54">
        <v>2046</v>
      </c>
      <c r="AR13" s="54">
        <v>2047</v>
      </c>
      <c r="AS13" s="54">
        <v>2048</v>
      </c>
      <c r="AT13" s="54">
        <v>2049</v>
      </c>
      <c r="AU13" s="54">
        <v>2050</v>
      </c>
    </row>
    <row r="14" spans="1:47">
      <c r="B14" s="54" t="s">
        <v>958</v>
      </c>
      <c r="C14" s="156">
        <f>Commercial_2!C14*'BTU Conversion Factor'!$F$4</f>
        <v>29187131358000</v>
      </c>
      <c r="D14" s="156">
        <f>Commercial_2!D14*'BTU Conversion Factor'!$F$4</f>
        <v>29173118135000.004</v>
      </c>
      <c r="E14" s="156">
        <f>Commercial_2!E14*'BTU Conversion Factor'!$F$4</f>
        <v>29159104912000.004</v>
      </c>
      <c r="F14" s="156">
        <f>Commercial_2!F14*'BTU Conversion Factor'!$F$4</f>
        <v>29145091689000</v>
      </c>
      <c r="G14" s="156">
        <f>Commercial_2!G14*'BTU Conversion Factor'!$F$4</f>
        <v>29131078466000</v>
      </c>
      <c r="H14" s="156">
        <f>Commercial_2!H14*'BTU Conversion Factor'!$F$4</f>
        <v>29117065243000</v>
      </c>
      <c r="I14" s="156">
        <f>Commercial_2!I14*'BTU Conversion Factor'!$F$4</f>
        <v>29103052019999.996</v>
      </c>
      <c r="J14" s="156">
        <f>Commercial_2!J14*'BTU Conversion Factor'!$F$4</f>
        <v>29065519140000</v>
      </c>
      <c r="K14" s="156">
        <f>Commercial_2!K14*'BTU Conversion Factor'!$F$4</f>
        <v>30401642278000</v>
      </c>
      <c r="L14" s="156">
        <f>Commercial_2!L14*'BTU Conversion Factor'!$F$4</f>
        <v>28763483713999.996</v>
      </c>
      <c r="M14" s="156">
        <f>Commercial_2!M14*'BTU Conversion Factor'!$F$4</f>
        <v>28816257217999.996</v>
      </c>
      <c r="N14" s="156">
        <f>Commercial_2!N14*'BTU Conversion Factor'!$F$4</f>
        <v>29761583459999.996</v>
      </c>
      <c r="O14" s="156">
        <f>Commercial_2!O14*'BTU Conversion Factor'!$F$4</f>
        <v>31230209038000</v>
      </c>
      <c r="P14" s="156">
        <f>Commercial_2!P14*'BTU Conversion Factor'!$F$4</f>
        <v>25587756600000</v>
      </c>
      <c r="Q14" s="156">
        <f>Commercial_2!Q14*'BTU Conversion Factor'!$F$4</f>
        <v>27113487128000</v>
      </c>
      <c r="R14" s="156">
        <f>Commercial_2!R14*'BTU Conversion Factor'!$F$4</f>
        <v>28459780160000.004</v>
      </c>
      <c r="S14" s="156">
        <f>Commercial_2!S14*'BTU Conversion Factor'!$F$4</f>
        <v>29218960668264.031</v>
      </c>
      <c r="T14" s="156">
        <f>Commercial_2!T14*'BTU Conversion Factor'!$F$4</f>
        <v>29515629000342.828</v>
      </c>
      <c r="U14" s="156">
        <f>Commercial_2!U14*'BTU Conversion Factor'!$F$4</f>
        <v>29813420731079.559</v>
      </c>
      <c r="V14" s="156">
        <f>Commercial_2!V14*'BTU Conversion Factor'!$F$4</f>
        <v>29975572946791.215</v>
      </c>
      <c r="W14" s="156">
        <f>Commercial_2!W14*'BTU Conversion Factor'!$F$4</f>
        <v>30198506856144.238</v>
      </c>
      <c r="X14" s="156">
        <f>Commercial_2!X14*'BTU Conversion Factor'!$F$4</f>
        <v>30421440765497.254</v>
      </c>
      <c r="Y14" s="156">
        <f>Commercial_2!Y14*'BTU Conversion Factor'!$F$4</f>
        <v>30644374674850.281</v>
      </c>
      <c r="Z14" s="156">
        <f>Commercial_2!Z14*'BTU Conversion Factor'!$F$4</f>
        <v>30867308584203.305</v>
      </c>
      <c r="AA14" s="156">
        <f>Commercial_2!AA14*'BTU Conversion Factor'!$F$4</f>
        <v>31090242493556.324</v>
      </c>
      <c r="AB14" s="156">
        <f>Commercial_2!AB14*'BTU Conversion Factor'!$F$4</f>
        <v>31313176402909.348</v>
      </c>
      <c r="AC14" s="156">
        <f>Commercial_2!AC14*'BTU Conversion Factor'!$F$4</f>
        <v>31536110312262.379</v>
      </c>
      <c r="AD14" s="156">
        <f>Commercial_2!AD14*'BTU Conversion Factor'!$F$4</f>
        <v>31759044221615.402</v>
      </c>
      <c r="AE14" s="156">
        <f>Commercial_2!AE14*'BTU Conversion Factor'!$F$4</f>
        <v>31981978130968.414</v>
      </c>
      <c r="AF14" s="156">
        <f>Commercial_2!AF14*'BTU Conversion Factor'!$F$4</f>
        <v>32204912040321.438</v>
      </c>
      <c r="AG14" s="156">
        <f>Commercial_2!AG14*'BTU Conversion Factor'!$F$4</f>
        <v>32427845949674.398</v>
      </c>
      <c r="AH14" s="156">
        <f>Commercial_2!AH14*'BTU Conversion Factor'!$F$4</f>
        <v>32650779859027.43</v>
      </c>
      <c r="AI14" s="156">
        <f>Commercial_2!AI14*'BTU Conversion Factor'!$F$4</f>
        <v>32873713768380.438</v>
      </c>
      <c r="AJ14" s="156">
        <f>Commercial_2!AJ14*'BTU Conversion Factor'!$F$4</f>
        <v>33096647677733.461</v>
      </c>
      <c r="AK14" s="156">
        <f>Commercial_2!AK14*'BTU Conversion Factor'!$F$4</f>
        <v>33319581587086.484</v>
      </c>
      <c r="AL14" s="156">
        <f>Commercial_2!AL14*'BTU Conversion Factor'!$F$4</f>
        <v>33542515496439.508</v>
      </c>
      <c r="AM14" s="156">
        <f>Commercial_2!AM14*'BTU Conversion Factor'!$F$4</f>
        <v>33765449405792.531</v>
      </c>
      <c r="AN14" s="156">
        <f>Commercial_2!AN14*'BTU Conversion Factor'!$F$4</f>
        <v>33988383315145.555</v>
      </c>
      <c r="AO14" s="156">
        <f>Commercial_2!AO14*'BTU Conversion Factor'!$F$4</f>
        <v>34211317224498.57</v>
      </c>
      <c r="AP14" s="156">
        <f>Commercial_2!AP14*'BTU Conversion Factor'!$F$4</f>
        <v>34434251133851.602</v>
      </c>
      <c r="AQ14" s="156">
        <f>Commercial_2!AQ14*'BTU Conversion Factor'!$F$4</f>
        <v>34657185043204.625</v>
      </c>
      <c r="AR14" s="156">
        <f>Commercial_2!AR14*'BTU Conversion Factor'!$F$4</f>
        <v>34880118952557.641</v>
      </c>
      <c r="AS14" s="156">
        <f>Commercial_2!AS14*'BTU Conversion Factor'!$F$4</f>
        <v>35103052861910.672</v>
      </c>
      <c r="AT14" s="156">
        <f>Commercial_2!AT14*'BTU Conversion Factor'!$F$4</f>
        <v>35325986771263.695</v>
      </c>
      <c r="AU14" s="156">
        <f>Commercial_2!AU14*'BTU Conversion Factor'!$F$4</f>
        <v>35548920680616.711</v>
      </c>
    </row>
    <row r="15" spans="1:47">
      <c r="B15" s="54" t="s">
        <v>959</v>
      </c>
      <c r="C15" s="156">
        <f>Commercial_2!C15*'BTU Conversion Factor'!$F$4</f>
        <v>0</v>
      </c>
      <c r="D15" s="156">
        <f>Commercial_2!D15*'BTU Conversion Factor'!$F$4</f>
        <v>0</v>
      </c>
      <c r="E15" s="156">
        <f>Commercial_2!E15*'BTU Conversion Factor'!$F$4</f>
        <v>0</v>
      </c>
      <c r="F15" s="156">
        <f>Commercial_2!F15*'BTU Conversion Factor'!$F$4</f>
        <v>0</v>
      </c>
      <c r="G15" s="156">
        <f>Commercial_2!G15*'BTU Conversion Factor'!$F$4</f>
        <v>0</v>
      </c>
      <c r="H15" s="156">
        <f>Commercial_2!H15*'BTU Conversion Factor'!$F$4</f>
        <v>0</v>
      </c>
      <c r="I15" s="156">
        <f>Commercial_2!I15*'BTU Conversion Factor'!$F$4</f>
        <v>0</v>
      </c>
      <c r="J15" s="156">
        <f>Commercial_2!J15*'BTU Conversion Factor'!$F$4</f>
        <v>0</v>
      </c>
      <c r="K15" s="156">
        <f>Commercial_2!K15*'BTU Conversion Factor'!$F$4</f>
        <v>0</v>
      </c>
      <c r="L15" s="156">
        <f>Commercial_2!L15*'BTU Conversion Factor'!$F$4</f>
        <v>0</v>
      </c>
      <c r="M15" s="156">
        <f>Commercial_2!M15*'BTU Conversion Factor'!$F$4</f>
        <v>0</v>
      </c>
      <c r="N15" s="156">
        <f>Commercial_2!N15*'BTU Conversion Factor'!$F$4</f>
        <v>0</v>
      </c>
      <c r="O15" s="156">
        <f>Commercial_2!O15*'BTU Conversion Factor'!$F$4</f>
        <v>0</v>
      </c>
      <c r="P15" s="156">
        <f>Commercial_2!P15*'BTU Conversion Factor'!$F$4</f>
        <v>0</v>
      </c>
      <c r="Q15" s="156">
        <f>Commercial_2!Q15*'BTU Conversion Factor'!$F$4</f>
        <v>0</v>
      </c>
      <c r="R15" s="156">
        <f>Commercial_2!R15*'BTU Conversion Factor'!$F$4</f>
        <v>0</v>
      </c>
      <c r="S15" s="156">
        <f>Commercial_2!S15*'BTU Conversion Factor'!$F$4</f>
        <v>0</v>
      </c>
      <c r="T15" s="156">
        <f>Commercial_2!T15*'BTU Conversion Factor'!$F$4</f>
        <v>0</v>
      </c>
      <c r="U15" s="156">
        <f>Commercial_2!U15*'BTU Conversion Factor'!$F$4</f>
        <v>0</v>
      </c>
      <c r="V15" s="156">
        <f>Commercial_2!V15*'BTU Conversion Factor'!$F$4</f>
        <v>0</v>
      </c>
      <c r="W15" s="156">
        <f>Commercial_2!W15*'BTU Conversion Factor'!$F$4</f>
        <v>0</v>
      </c>
      <c r="X15" s="156">
        <f>Commercial_2!X15*'BTU Conversion Factor'!$F$4</f>
        <v>0</v>
      </c>
      <c r="Y15" s="156">
        <f>Commercial_2!Y15*'BTU Conversion Factor'!$F$4</f>
        <v>0</v>
      </c>
      <c r="Z15" s="156">
        <f>Commercial_2!Z15*'BTU Conversion Factor'!$F$4</f>
        <v>0</v>
      </c>
      <c r="AA15" s="156">
        <f>Commercial_2!AA15*'BTU Conversion Factor'!$F$4</f>
        <v>0</v>
      </c>
      <c r="AB15" s="156">
        <f>Commercial_2!AB15*'BTU Conversion Factor'!$F$4</f>
        <v>0</v>
      </c>
      <c r="AC15" s="156">
        <f>Commercial_2!AC15*'BTU Conversion Factor'!$F$4</f>
        <v>0</v>
      </c>
      <c r="AD15" s="156">
        <f>Commercial_2!AD15*'BTU Conversion Factor'!$F$4</f>
        <v>0</v>
      </c>
      <c r="AE15" s="156">
        <f>Commercial_2!AE15*'BTU Conversion Factor'!$F$4</f>
        <v>0</v>
      </c>
      <c r="AF15" s="156">
        <f>Commercial_2!AF15*'BTU Conversion Factor'!$F$4</f>
        <v>0</v>
      </c>
      <c r="AG15" s="156">
        <f>Commercial_2!AG15*'BTU Conversion Factor'!$F$4</f>
        <v>0</v>
      </c>
      <c r="AH15" s="156">
        <f>Commercial_2!AH15*'BTU Conversion Factor'!$F$4</f>
        <v>0</v>
      </c>
      <c r="AI15" s="156">
        <f>Commercial_2!AI15*'BTU Conversion Factor'!$F$4</f>
        <v>0</v>
      </c>
      <c r="AJ15" s="156">
        <f>Commercial_2!AJ15*'BTU Conversion Factor'!$F$4</f>
        <v>0</v>
      </c>
      <c r="AK15" s="156">
        <f>Commercial_2!AK15*'BTU Conversion Factor'!$F$4</f>
        <v>0</v>
      </c>
      <c r="AL15" s="156">
        <f>Commercial_2!AL15*'BTU Conversion Factor'!$F$4</f>
        <v>0</v>
      </c>
      <c r="AM15" s="156">
        <f>Commercial_2!AM15*'BTU Conversion Factor'!$F$4</f>
        <v>0</v>
      </c>
      <c r="AN15" s="156">
        <f>Commercial_2!AN15*'BTU Conversion Factor'!$F$4</f>
        <v>0</v>
      </c>
      <c r="AO15" s="156">
        <f>Commercial_2!AO15*'BTU Conversion Factor'!$F$4</f>
        <v>0</v>
      </c>
      <c r="AP15" s="156">
        <f>Commercial_2!AP15*'BTU Conversion Factor'!$F$4</f>
        <v>0</v>
      </c>
      <c r="AQ15" s="156">
        <f>Commercial_2!AQ15*'BTU Conversion Factor'!$F$4</f>
        <v>0</v>
      </c>
      <c r="AR15" s="156">
        <f>Commercial_2!AR15*'BTU Conversion Factor'!$F$4</f>
        <v>0</v>
      </c>
      <c r="AS15" s="156">
        <f>Commercial_2!AS15*'BTU Conversion Factor'!$F$4</f>
        <v>0</v>
      </c>
      <c r="AT15" s="156">
        <f>Commercial_2!AT15*'BTU Conversion Factor'!$F$4</f>
        <v>0</v>
      </c>
      <c r="AU15" s="156">
        <f>Commercial_2!AU15*'BTU Conversion Factor'!$F$4</f>
        <v>0</v>
      </c>
    </row>
    <row r="16" spans="1:47">
      <c r="B16" s="54" t="s">
        <v>960</v>
      </c>
      <c r="C16" s="156">
        <f>Commercial_2!C16*'BTU Conversion Factor'!$F$4</f>
        <v>0</v>
      </c>
      <c r="D16" s="156">
        <f>Commercial_2!D16*'BTU Conversion Factor'!$F$4</f>
        <v>0</v>
      </c>
      <c r="E16" s="156">
        <f>Commercial_2!E16*'BTU Conversion Factor'!$F$4</f>
        <v>0</v>
      </c>
      <c r="F16" s="156">
        <f>Commercial_2!F16*'BTU Conversion Factor'!$F$4</f>
        <v>0</v>
      </c>
      <c r="G16" s="156">
        <f>Commercial_2!G16*'BTU Conversion Factor'!$F$4</f>
        <v>0</v>
      </c>
      <c r="H16" s="156">
        <f>Commercial_2!H16*'BTU Conversion Factor'!$F$4</f>
        <v>0</v>
      </c>
      <c r="I16" s="156">
        <f>Commercial_2!I16*'BTU Conversion Factor'!$F$4</f>
        <v>0</v>
      </c>
      <c r="J16" s="156">
        <f>Commercial_2!J16*'BTU Conversion Factor'!$F$4</f>
        <v>0</v>
      </c>
      <c r="K16" s="156">
        <f>Commercial_2!K16*'BTU Conversion Factor'!$F$4</f>
        <v>0</v>
      </c>
      <c r="L16" s="156">
        <f>Commercial_2!L16*'BTU Conversion Factor'!$F$4</f>
        <v>0</v>
      </c>
      <c r="M16" s="156">
        <f>Commercial_2!M16*'BTU Conversion Factor'!$F$4</f>
        <v>0</v>
      </c>
      <c r="N16" s="156">
        <f>Commercial_2!N16*'BTU Conversion Factor'!$F$4</f>
        <v>0</v>
      </c>
      <c r="O16" s="156">
        <f>Commercial_2!O16*'BTU Conversion Factor'!$F$4</f>
        <v>0</v>
      </c>
      <c r="P16" s="156">
        <f>Commercial_2!P16*'BTU Conversion Factor'!$F$4</f>
        <v>0</v>
      </c>
      <c r="Q16" s="156">
        <f>Commercial_2!Q16*'BTU Conversion Factor'!$F$4</f>
        <v>0</v>
      </c>
      <c r="R16" s="156">
        <f>Commercial_2!R16*'BTU Conversion Factor'!$F$4</f>
        <v>0</v>
      </c>
      <c r="S16" s="156">
        <f>Commercial_2!S16*'BTU Conversion Factor'!$F$4</f>
        <v>0</v>
      </c>
      <c r="T16" s="156">
        <f>Commercial_2!T16*'BTU Conversion Factor'!$F$4</f>
        <v>0</v>
      </c>
      <c r="U16" s="156">
        <f>Commercial_2!U16*'BTU Conversion Factor'!$F$4</f>
        <v>0</v>
      </c>
      <c r="V16" s="156">
        <f>Commercial_2!V16*'BTU Conversion Factor'!$F$4</f>
        <v>0</v>
      </c>
      <c r="W16" s="156">
        <f>Commercial_2!W16*'BTU Conversion Factor'!$F$4</f>
        <v>0</v>
      </c>
      <c r="X16" s="156">
        <f>Commercial_2!X16*'BTU Conversion Factor'!$F$4</f>
        <v>0</v>
      </c>
      <c r="Y16" s="156">
        <f>Commercial_2!Y16*'BTU Conversion Factor'!$F$4</f>
        <v>0</v>
      </c>
      <c r="Z16" s="156">
        <f>Commercial_2!Z16*'BTU Conversion Factor'!$F$4</f>
        <v>0</v>
      </c>
      <c r="AA16" s="156">
        <f>Commercial_2!AA16*'BTU Conversion Factor'!$F$4</f>
        <v>0</v>
      </c>
      <c r="AB16" s="156">
        <f>Commercial_2!AB16*'BTU Conversion Factor'!$F$4</f>
        <v>0</v>
      </c>
      <c r="AC16" s="156">
        <f>Commercial_2!AC16*'BTU Conversion Factor'!$F$4</f>
        <v>0</v>
      </c>
      <c r="AD16" s="156">
        <f>Commercial_2!AD16*'BTU Conversion Factor'!$F$4</f>
        <v>0</v>
      </c>
      <c r="AE16" s="156">
        <f>Commercial_2!AE16*'BTU Conversion Factor'!$F$4</f>
        <v>0</v>
      </c>
      <c r="AF16" s="156">
        <f>Commercial_2!AF16*'BTU Conversion Factor'!$F$4</f>
        <v>0</v>
      </c>
      <c r="AG16" s="156">
        <f>Commercial_2!AG16*'BTU Conversion Factor'!$F$4</f>
        <v>0</v>
      </c>
      <c r="AH16" s="156">
        <f>Commercial_2!AH16*'BTU Conversion Factor'!$F$4</f>
        <v>0</v>
      </c>
      <c r="AI16" s="156">
        <f>Commercial_2!AI16*'BTU Conversion Factor'!$F$4</f>
        <v>0</v>
      </c>
      <c r="AJ16" s="156">
        <f>Commercial_2!AJ16*'BTU Conversion Factor'!$F$4</f>
        <v>0</v>
      </c>
      <c r="AK16" s="156">
        <f>Commercial_2!AK16*'BTU Conversion Factor'!$F$4</f>
        <v>0</v>
      </c>
      <c r="AL16" s="156">
        <f>Commercial_2!AL16*'BTU Conversion Factor'!$F$4</f>
        <v>0</v>
      </c>
      <c r="AM16" s="156">
        <f>Commercial_2!AM16*'BTU Conversion Factor'!$F$4</f>
        <v>0</v>
      </c>
      <c r="AN16" s="156">
        <f>Commercial_2!AN16*'BTU Conversion Factor'!$F$4</f>
        <v>0</v>
      </c>
      <c r="AO16" s="156">
        <f>Commercial_2!AO16*'BTU Conversion Factor'!$F$4</f>
        <v>0</v>
      </c>
      <c r="AP16" s="156">
        <f>Commercial_2!AP16*'BTU Conversion Factor'!$F$4</f>
        <v>0</v>
      </c>
      <c r="AQ16" s="156">
        <f>Commercial_2!AQ16*'BTU Conversion Factor'!$F$4</f>
        <v>0</v>
      </c>
      <c r="AR16" s="156">
        <f>Commercial_2!AR16*'BTU Conversion Factor'!$F$4</f>
        <v>0</v>
      </c>
      <c r="AS16" s="156">
        <f>Commercial_2!AS16*'BTU Conversion Factor'!$F$4</f>
        <v>0</v>
      </c>
      <c r="AT16" s="156">
        <f>Commercial_2!AT16*'BTU Conversion Factor'!$F$4</f>
        <v>0</v>
      </c>
      <c r="AU16" s="156">
        <f>Commercial_2!AU16*'BTU Conversion Factor'!$F$4</f>
        <v>0</v>
      </c>
    </row>
    <row r="17" spans="1:47">
      <c r="B17" s="54" t="s">
        <v>961</v>
      </c>
      <c r="C17" s="156">
        <f>Commercial_2!C17*'BTU Conversion Factor'!$F$4</f>
        <v>0</v>
      </c>
      <c r="D17" s="156">
        <f>Commercial_2!D17*'BTU Conversion Factor'!$F$4</f>
        <v>0</v>
      </c>
      <c r="E17" s="156">
        <f>Commercial_2!E17*'BTU Conversion Factor'!$F$4</f>
        <v>0</v>
      </c>
      <c r="F17" s="156">
        <f>Commercial_2!F17*'BTU Conversion Factor'!$F$4</f>
        <v>0</v>
      </c>
      <c r="G17" s="156">
        <f>Commercial_2!G17*'BTU Conversion Factor'!$F$4</f>
        <v>0</v>
      </c>
      <c r="H17" s="156">
        <f>Commercial_2!H17*'BTU Conversion Factor'!$F$4</f>
        <v>0</v>
      </c>
      <c r="I17" s="156">
        <f>Commercial_2!I17*'BTU Conversion Factor'!$F$4</f>
        <v>0</v>
      </c>
      <c r="J17" s="156">
        <f>Commercial_2!J17*'BTU Conversion Factor'!$F$4</f>
        <v>0</v>
      </c>
      <c r="K17" s="156">
        <f>Commercial_2!K17*'BTU Conversion Factor'!$F$4</f>
        <v>0</v>
      </c>
      <c r="L17" s="156">
        <f>Commercial_2!L17*'BTU Conversion Factor'!$F$4</f>
        <v>0</v>
      </c>
      <c r="M17" s="156">
        <f>Commercial_2!M17*'BTU Conversion Factor'!$F$4</f>
        <v>0</v>
      </c>
      <c r="N17" s="156">
        <f>Commercial_2!N17*'BTU Conversion Factor'!$F$4</f>
        <v>0</v>
      </c>
      <c r="O17" s="156">
        <f>Commercial_2!O17*'BTU Conversion Factor'!$F$4</f>
        <v>0</v>
      </c>
      <c r="P17" s="156">
        <f>Commercial_2!P17*'BTU Conversion Factor'!$F$4</f>
        <v>0</v>
      </c>
      <c r="Q17" s="156">
        <f>Commercial_2!Q17*'BTU Conversion Factor'!$F$4</f>
        <v>0</v>
      </c>
      <c r="R17" s="156">
        <f>Commercial_2!R17*'BTU Conversion Factor'!$F$4</f>
        <v>0</v>
      </c>
      <c r="S17" s="156">
        <f>Commercial_2!S17*'BTU Conversion Factor'!$F$4</f>
        <v>0</v>
      </c>
      <c r="T17" s="156">
        <f>Commercial_2!T17*'BTU Conversion Factor'!$F$4</f>
        <v>0</v>
      </c>
      <c r="U17" s="156">
        <f>Commercial_2!U17*'BTU Conversion Factor'!$F$4</f>
        <v>0</v>
      </c>
      <c r="V17" s="156">
        <f>Commercial_2!V17*'BTU Conversion Factor'!$F$4</f>
        <v>0</v>
      </c>
      <c r="W17" s="156">
        <f>Commercial_2!W17*'BTU Conversion Factor'!$F$4</f>
        <v>0</v>
      </c>
      <c r="X17" s="156">
        <f>Commercial_2!X17*'BTU Conversion Factor'!$F$4</f>
        <v>0</v>
      </c>
      <c r="Y17" s="156">
        <f>Commercial_2!Y17*'BTU Conversion Factor'!$F$4</f>
        <v>0</v>
      </c>
      <c r="Z17" s="156">
        <f>Commercial_2!Z17*'BTU Conversion Factor'!$F$4</f>
        <v>0</v>
      </c>
      <c r="AA17" s="156">
        <f>Commercial_2!AA17*'BTU Conversion Factor'!$F$4</f>
        <v>0</v>
      </c>
      <c r="AB17" s="156">
        <f>Commercial_2!AB17*'BTU Conversion Factor'!$F$4</f>
        <v>0</v>
      </c>
      <c r="AC17" s="156">
        <f>Commercial_2!AC17*'BTU Conversion Factor'!$F$4</f>
        <v>0</v>
      </c>
      <c r="AD17" s="156">
        <f>Commercial_2!AD17*'BTU Conversion Factor'!$F$4</f>
        <v>0</v>
      </c>
      <c r="AE17" s="156">
        <f>Commercial_2!AE17*'BTU Conversion Factor'!$F$4</f>
        <v>0</v>
      </c>
      <c r="AF17" s="156">
        <f>Commercial_2!AF17*'BTU Conversion Factor'!$F$4</f>
        <v>0</v>
      </c>
      <c r="AG17" s="156">
        <f>Commercial_2!AG17*'BTU Conversion Factor'!$F$4</f>
        <v>0</v>
      </c>
      <c r="AH17" s="156">
        <f>Commercial_2!AH17*'BTU Conversion Factor'!$F$4</f>
        <v>0</v>
      </c>
      <c r="AI17" s="156">
        <f>Commercial_2!AI17*'BTU Conversion Factor'!$F$4</f>
        <v>0</v>
      </c>
      <c r="AJ17" s="156">
        <f>Commercial_2!AJ17*'BTU Conversion Factor'!$F$4</f>
        <v>0</v>
      </c>
      <c r="AK17" s="156">
        <f>Commercial_2!AK17*'BTU Conversion Factor'!$F$4</f>
        <v>0</v>
      </c>
      <c r="AL17" s="156">
        <f>Commercial_2!AL17*'BTU Conversion Factor'!$F$4</f>
        <v>0</v>
      </c>
      <c r="AM17" s="156">
        <f>Commercial_2!AM17*'BTU Conversion Factor'!$F$4</f>
        <v>0</v>
      </c>
      <c r="AN17" s="156">
        <f>Commercial_2!AN17*'BTU Conversion Factor'!$F$4</f>
        <v>0</v>
      </c>
      <c r="AO17" s="156">
        <f>Commercial_2!AO17*'BTU Conversion Factor'!$F$4</f>
        <v>0</v>
      </c>
      <c r="AP17" s="156">
        <f>Commercial_2!AP17*'BTU Conversion Factor'!$F$4</f>
        <v>0</v>
      </c>
      <c r="AQ17" s="156">
        <f>Commercial_2!AQ17*'BTU Conversion Factor'!$F$4</f>
        <v>0</v>
      </c>
      <c r="AR17" s="156">
        <f>Commercial_2!AR17*'BTU Conversion Factor'!$F$4</f>
        <v>0</v>
      </c>
      <c r="AS17" s="156">
        <f>Commercial_2!AS17*'BTU Conversion Factor'!$F$4</f>
        <v>0</v>
      </c>
      <c r="AT17" s="156">
        <f>Commercial_2!AT17*'BTU Conversion Factor'!$F$4</f>
        <v>0</v>
      </c>
      <c r="AU17" s="156">
        <f>Commercial_2!AU17*'BTU Conversion Factor'!$F$4</f>
        <v>0</v>
      </c>
    </row>
    <row r="18" spans="1:47">
      <c r="B18" s="54" t="s">
        <v>962</v>
      </c>
      <c r="C18" s="156">
        <f>Commercial_2!C18*'BTU Conversion Factor'!$F$4</f>
        <v>0</v>
      </c>
      <c r="D18" s="156">
        <f>Commercial_2!D18*'BTU Conversion Factor'!$F$4</f>
        <v>0</v>
      </c>
      <c r="E18" s="156">
        <f>Commercial_2!E18*'BTU Conversion Factor'!$F$4</f>
        <v>0</v>
      </c>
      <c r="F18" s="156">
        <f>Commercial_2!F18*'BTU Conversion Factor'!$F$4</f>
        <v>0</v>
      </c>
      <c r="G18" s="156">
        <f>Commercial_2!G18*'BTU Conversion Factor'!$F$4</f>
        <v>0</v>
      </c>
      <c r="H18" s="156">
        <f>Commercial_2!H18*'BTU Conversion Factor'!$F$4</f>
        <v>0</v>
      </c>
      <c r="I18" s="156">
        <f>Commercial_2!I18*'BTU Conversion Factor'!$F$4</f>
        <v>0</v>
      </c>
      <c r="J18" s="156">
        <f>Commercial_2!J18*'BTU Conversion Factor'!$F$4</f>
        <v>0</v>
      </c>
      <c r="K18" s="156">
        <f>Commercial_2!K18*'BTU Conversion Factor'!$F$4</f>
        <v>0</v>
      </c>
      <c r="L18" s="156">
        <f>Commercial_2!L18*'BTU Conversion Factor'!$F$4</f>
        <v>0</v>
      </c>
      <c r="M18" s="156">
        <f>Commercial_2!M18*'BTU Conversion Factor'!$F$4</f>
        <v>0</v>
      </c>
      <c r="N18" s="156">
        <f>Commercial_2!N18*'BTU Conversion Factor'!$F$4</f>
        <v>0</v>
      </c>
      <c r="O18" s="156">
        <f>Commercial_2!O18*'BTU Conversion Factor'!$F$4</f>
        <v>0</v>
      </c>
      <c r="P18" s="156">
        <f>Commercial_2!P18*'BTU Conversion Factor'!$F$4</f>
        <v>0</v>
      </c>
      <c r="Q18" s="156">
        <f>Commercial_2!Q18*'BTU Conversion Factor'!$F$4</f>
        <v>0</v>
      </c>
      <c r="R18" s="156">
        <f>Commercial_2!R18*'BTU Conversion Factor'!$F$4</f>
        <v>0</v>
      </c>
      <c r="S18" s="156">
        <f>Commercial_2!S18*'BTU Conversion Factor'!$F$4</f>
        <v>0</v>
      </c>
      <c r="T18" s="156">
        <f>Commercial_2!T18*'BTU Conversion Factor'!$F$4</f>
        <v>0</v>
      </c>
      <c r="U18" s="156">
        <f>Commercial_2!U18*'BTU Conversion Factor'!$F$4</f>
        <v>0</v>
      </c>
      <c r="V18" s="156">
        <f>Commercial_2!V18*'BTU Conversion Factor'!$F$4</f>
        <v>0</v>
      </c>
      <c r="W18" s="156">
        <f>Commercial_2!W18*'BTU Conversion Factor'!$F$4</f>
        <v>0</v>
      </c>
      <c r="X18" s="156">
        <f>Commercial_2!X18*'BTU Conversion Factor'!$F$4</f>
        <v>0</v>
      </c>
      <c r="Y18" s="156">
        <f>Commercial_2!Y18*'BTU Conversion Factor'!$F$4</f>
        <v>0</v>
      </c>
      <c r="Z18" s="156">
        <f>Commercial_2!Z18*'BTU Conversion Factor'!$F$4</f>
        <v>0</v>
      </c>
      <c r="AA18" s="156">
        <f>Commercial_2!AA18*'BTU Conversion Factor'!$F$4</f>
        <v>0</v>
      </c>
      <c r="AB18" s="156">
        <f>Commercial_2!AB18*'BTU Conversion Factor'!$F$4</f>
        <v>0</v>
      </c>
      <c r="AC18" s="156">
        <f>Commercial_2!AC18*'BTU Conversion Factor'!$F$4</f>
        <v>0</v>
      </c>
      <c r="AD18" s="156">
        <f>Commercial_2!AD18*'BTU Conversion Factor'!$F$4</f>
        <v>0</v>
      </c>
      <c r="AE18" s="156">
        <f>Commercial_2!AE18*'BTU Conversion Factor'!$F$4</f>
        <v>0</v>
      </c>
      <c r="AF18" s="156">
        <f>Commercial_2!AF18*'BTU Conversion Factor'!$F$4</f>
        <v>0</v>
      </c>
      <c r="AG18" s="156">
        <f>Commercial_2!AG18*'BTU Conversion Factor'!$F$4</f>
        <v>0</v>
      </c>
      <c r="AH18" s="156">
        <f>Commercial_2!AH18*'BTU Conversion Factor'!$F$4</f>
        <v>0</v>
      </c>
      <c r="AI18" s="156">
        <f>Commercial_2!AI18*'BTU Conversion Factor'!$F$4</f>
        <v>0</v>
      </c>
      <c r="AJ18" s="156">
        <f>Commercial_2!AJ18*'BTU Conversion Factor'!$F$4</f>
        <v>0</v>
      </c>
      <c r="AK18" s="156">
        <f>Commercial_2!AK18*'BTU Conversion Factor'!$F$4</f>
        <v>0</v>
      </c>
      <c r="AL18" s="156">
        <f>Commercial_2!AL18*'BTU Conversion Factor'!$F$4</f>
        <v>0</v>
      </c>
      <c r="AM18" s="156">
        <f>Commercial_2!AM18*'BTU Conversion Factor'!$F$4</f>
        <v>0</v>
      </c>
      <c r="AN18" s="156">
        <f>Commercial_2!AN18*'BTU Conversion Factor'!$F$4</f>
        <v>0</v>
      </c>
      <c r="AO18" s="156">
        <f>Commercial_2!AO18*'BTU Conversion Factor'!$F$4</f>
        <v>0</v>
      </c>
      <c r="AP18" s="156">
        <f>Commercial_2!AP18*'BTU Conversion Factor'!$F$4</f>
        <v>0</v>
      </c>
      <c r="AQ18" s="156">
        <f>Commercial_2!AQ18*'BTU Conversion Factor'!$F$4</f>
        <v>0</v>
      </c>
      <c r="AR18" s="156">
        <f>Commercial_2!AR18*'BTU Conversion Factor'!$F$4</f>
        <v>0</v>
      </c>
      <c r="AS18" s="156">
        <f>Commercial_2!AS18*'BTU Conversion Factor'!$F$4</f>
        <v>0</v>
      </c>
      <c r="AT18" s="156">
        <f>Commercial_2!AT18*'BTU Conversion Factor'!$F$4</f>
        <v>0</v>
      </c>
      <c r="AU18" s="156">
        <f>Commercial_2!AU18*'BTU Conversion Factor'!$F$4</f>
        <v>0</v>
      </c>
    </row>
    <row r="19" spans="1:47">
      <c r="B19" s="54" t="s">
        <v>963</v>
      </c>
      <c r="C19" s="156">
        <f>Commercial_2!C19*'BTU Conversion Factor'!$F$4</f>
        <v>0</v>
      </c>
      <c r="D19" s="156">
        <f>Commercial_2!D19*'BTU Conversion Factor'!$F$4</f>
        <v>0</v>
      </c>
      <c r="E19" s="156">
        <f>Commercial_2!E19*'BTU Conversion Factor'!$F$4</f>
        <v>0</v>
      </c>
      <c r="F19" s="156">
        <f>Commercial_2!F19*'BTU Conversion Factor'!$F$4</f>
        <v>0</v>
      </c>
      <c r="G19" s="156">
        <f>Commercial_2!G19*'BTU Conversion Factor'!$F$4</f>
        <v>0</v>
      </c>
      <c r="H19" s="156">
        <f>Commercial_2!H19*'BTU Conversion Factor'!$F$4</f>
        <v>0</v>
      </c>
      <c r="I19" s="156">
        <f>Commercial_2!I19*'BTU Conversion Factor'!$F$4</f>
        <v>0</v>
      </c>
      <c r="J19" s="156">
        <f>Commercial_2!J19*'BTU Conversion Factor'!$F$4</f>
        <v>0</v>
      </c>
      <c r="K19" s="156">
        <f>Commercial_2!K19*'BTU Conversion Factor'!$F$4</f>
        <v>0</v>
      </c>
      <c r="L19" s="156">
        <f>Commercial_2!L19*'BTU Conversion Factor'!$F$4</f>
        <v>0</v>
      </c>
      <c r="M19" s="156">
        <f>Commercial_2!M19*'BTU Conversion Factor'!$F$4</f>
        <v>0</v>
      </c>
      <c r="N19" s="156">
        <f>Commercial_2!N19*'BTU Conversion Factor'!$F$4</f>
        <v>0</v>
      </c>
      <c r="O19" s="156">
        <f>Commercial_2!O19*'BTU Conversion Factor'!$F$4</f>
        <v>0</v>
      </c>
      <c r="P19" s="156">
        <f>Commercial_2!P19*'BTU Conversion Factor'!$F$4</f>
        <v>0</v>
      </c>
      <c r="Q19" s="156">
        <f>Commercial_2!Q19*'BTU Conversion Factor'!$F$4</f>
        <v>0</v>
      </c>
      <c r="R19" s="156">
        <f>Commercial_2!R19*'BTU Conversion Factor'!$F$4</f>
        <v>0</v>
      </c>
      <c r="S19" s="156">
        <f>Commercial_2!S19*'BTU Conversion Factor'!$F$4</f>
        <v>0</v>
      </c>
      <c r="T19" s="156">
        <f>Commercial_2!T19*'BTU Conversion Factor'!$F$4</f>
        <v>0</v>
      </c>
      <c r="U19" s="156">
        <f>Commercial_2!U19*'BTU Conversion Factor'!$F$4</f>
        <v>0</v>
      </c>
      <c r="V19" s="156">
        <f>Commercial_2!V19*'BTU Conversion Factor'!$F$4</f>
        <v>0</v>
      </c>
      <c r="W19" s="156">
        <f>Commercial_2!W19*'BTU Conversion Factor'!$F$4</f>
        <v>0</v>
      </c>
      <c r="X19" s="156">
        <f>Commercial_2!X19*'BTU Conversion Factor'!$F$4</f>
        <v>0</v>
      </c>
      <c r="Y19" s="156">
        <f>Commercial_2!Y19*'BTU Conversion Factor'!$F$4</f>
        <v>0</v>
      </c>
      <c r="Z19" s="156">
        <f>Commercial_2!Z19*'BTU Conversion Factor'!$F$4</f>
        <v>0</v>
      </c>
      <c r="AA19" s="156">
        <f>Commercial_2!AA19*'BTU Conversion Factor'!$F$4</f>
        <v>0</v>
      </c>
      <c r="AB19" s="156">
        <f>Commercial_2!AB19*'BTU Conversion Factor'!$F$4</f>
        <v>0</v>
      </c>
      <c r="AC19" s="156">
        <f>Commercial_2!AC19*'BTU Conversion Factor'!$F$4</f>
        <v>0</v>
      </c>
      <c r="AD19" s="156">
        <f>Commercial_2!AD19*'BTU Conversion Factor'!$F$4</f>
        <v>0</v>
      </c>
      <c r="AE19" s="156">
        <f>Commercial_2!AE19*'BTU Conversion Factor'!$F$4</f>
        <v>0</v>
      </c>
      <c r="AF19" s="156">
        <f>Commercial_2!AF19*'BTU Conversion Factor'!$F$4</f>
        <v>0</v>
      </c>
      <c r="AG19" s="156">
        <f>Commercial_2!AG19*'BTU Conversion Factor'!$F$4</f>
        <v>0</v>
      </c>
      <c r="AH19" s="156">
        <f>Commercial_2!AH19*'BTU Conversion Factor'!$F$4</f>
        <v>0</v>
      </c>
      <c r="AI19" s="156">
        <f>Commercial_2!AI19*'BTU Conversion Factor'!$F$4</f>
        <v>0</v>
      </c>
      <c r="AJ19" s="156">
        <f>Commercial_2!AJ19*'BTU Conversion Factor'!$F$4</f>
        <v>0</v>
      </c>
      <c r="AK19" s="156">
        <f>Commercial_2!AK19*'BTU Conversion Factor'!$F$4</f>
        <v>0</v>
      </c>
      <c r="AL19" s="156">
        <f>Commercial_2!AL19*'BTU Conversion Factor'!$F$4</f>
        <v>0</v>
      </c>
      <c r="AM19" s="156">
        <f>Commercial_2!AM19*'BTU Conversion Factor'!$F$4</f>
        <v>0</v>
      </c>
      <c r="AN19" s="156">
        <f>Commercial_2!AN19*'BTU Conversion Factor'!$F$4</f>
        <v>0</v>
      </c>
      <c r="AO19" s="156">
        <f>Commercial_2!AO19*'BTU Conversion Factor'!$F$4</f>
        <v>0</v>
      </c>
      <c r="AP19" s="156">
        <f>Commercial_2!AP19*'BTU Conversion Factor'!$F$4</f>
        <v>0</v>
      </c>
      <c r="AQ19" s="156">
        <f>Commercial_2!AQ19*'BTU Conversion Factor'!$F$4</f>
        <v>0</v>
      </c>
      <c r="AR19" s="156">
        <f>Commercial_2!AR19*'BTU Conversion Factor'!$F$4</f>
        <v>0</v>
      </c>
      <c r="AS19" s="156">
        <f>Commercial_2!AS19*'BTU Conversion Factor'!$F$4</f>
        <v>0</v>
      </c>
      <c r="AT19" s="156">
        <f>Commercial_2!AT19*'BTU Conversion Factor'!$F$4</f>
        <v>0</v>
      </c>
      <c r="AU19" s="156">
        <f>Commercial_2!AU19*'BTU Conversion Factor'!$F$4</f>
        <v>0</v>
      </c>
    </row>
    <row r="21" spans="1:47" s="58" customFormat="1">
      <c r="A21" s="108" t="s">
        <v>938</v>
      </c>
    </row>
    <row r="22" spans="1:47" s="54" customFormat="1">
      <c r="B22" s="54" t="s">
        <v>557</v>
      </c>
      <c r="C22" s="54">
        <v>2006</v>
      </c>
      <c r="D22" s="54">
        <v>2007</v>
      </c>
      <c r="E22" s="54">
        <v>2008</v>
      </c>
      <c r="F22" s="54">
        <v>2009</v>
      </c>
      <c r="G22" s="54">
        <v>2010</v>
      </c>
      <c r="H22" s="54">
        <v>2011</v>
      </c>
      <c r="I22" s="54">
        <v>2012</v>
      </c>
      <c r="J22" s="54">
        <v>2013</v>
      </c>
      <c r="K22" s="54">
        <v>2014</v>
      </c>
      <c r="L22" s="54">
        <v>2015</v>
      </c>
      <c r="M22" s="54">
        <v>2016</v>
      </c>
      <c r="N22" s="54">
        <v>2017</v>
      </c>
      <c r="O22" s="54">
        <v>2018</v>
      </c>
      <c r="P22" s="54">
        <v>2019</v>
      </c>
      <c r="Q22" s="54">
        <v>2020</v>
      </c>
      <c r="R22" s="54">
        <v>2021</v>
      </c>
      <c r="S22" s="54">
        <v>2022</v>
      </c>
      <c r="T22" s="54">
        <v>2023</v>
      </c>
      <c r="U22" s="54">
        <v>2024</v>
      </c>
      <c r="V22" s="54">
        <v>2025</v>
      </c>
      <c r="W22" s="54">
        <v>2026</v>
      </c>
      <c r="X22" s="54">
        <v>2027</v>
      </c>
      <c r="Y22" s="54">
        <v>2028</v>
      </c>
      <c r="Z22" s="54">
        <v>2029</v>
      </c>
      <c r="AA22" s="54">
        <v>2030</v>
      </c>
      <c r="AB22" s="54">
        <v>2031</v>
      </c>
      <c r="AC22" s="54">
        <v>2032</v>
      </c>
      <c r="AD22" s="54">
        <v>2033</v>
      </c>
      <c r="AE22" s="54">
        <v>2034</v>
      </c>
      <c r="AF22" s="54">
        <v>2035</v>
      </c>
      <c r="AG22" s="54">
        <v>2036</v>
      </c>
      <c r="AH22" s="54">
        <v>2037</v>
      </c>
      <c r="AI22" s="54">
        <v>2038</v>
      </c>
      <c r="AJ22" s="54">
        <v>2039</v>
      </c>
      <c r="AK22" s="54">
        <v>2040</v>
      </c>
      <c r="AL22" s="54">
        <v>2041</v>
      </c>
      <c r="AM22" s="54">
        <v>2042</v>
      </c>
      <c r="AN22" s="54">
        <v>2043</v>
      </c>
      <c r="AO22" s="54">
        <v>2044</v>
      </c>
      <c r="AP22" s="54">
        <v>2045</v>
      </c>
      <c r="AQ22" s="54">
        <v>2046</v>
      </c>
      <c r="AR22" s="54">
        <v>2047</v>
      </c>
      <c r="AS22" s="54">
        <v>2048</v>
      </c>
      <c r="AT22" s="54">
        <v>2049</v>
      </c>
      <c r="AU22" s="54">
        <v>2050</v>
      </c>
    </row>
    <row r="23" spans="1:47">
      <c r="B23" s="54" t="s">
        <v>958</v>
      </c>
      <c r="C23" s="156">
        <f>Commercial_2!C23*'BTU Conversion Factor'!$F$4</f>
        <v>0</v>
      </c>
      <c r="D23" s="156">
        <f>Commercial_2!D23*'BTU Conversion Factor'!$F$4</f>
        <v>0</v>
      </c>
      <c r="E23" s="156">
        <f>Commercial_2!E23*'BTU Conversion Factor'!$F$4</f>
        <v>0</v>
      </c>
      <c r="F23" s="156">
        <f>Commercial_2!F23*'BTU Conversion Factor'!$F$4</f>
        <v>0</v>
      </c>
      <c r="G23" s="156">
        <f>Commercial_2!G23*'BTU Conversion Factor'!$F$4</f>
        <v>0</v>
      </c>
      <c r="H23" s="156">
        <f>Commercial_2!H23*'BTU Conversion Factor'!$F$4</f>
        <v>0</v>
      </c>
      <c r="I23" s="156">
        <f>Commercial_2!I23*'BTU Conversion Factor'!$F$4</f>
        <v>0</v>
      </c>
      <c r="J23" s="156">
        <f>Commercial_2!J23*'BTU Conversion Factor'!$F$4</f>
        <v>0</v>
      </c>
      <c r="K23" s="156">
        <f>Commercial_2!K23*'BTU Conversion Factor'!$F$4</f>
        <v>0</v>
      </c>
      <c r="L23" s="156">
        <f>Commercial_2!L23*'BTU Conversion Factor'!$F$4</f>
        <v>0</v>
      </c>
      <c r="M23" s="156">
        <f>Commercial_2!M23*'BTU Conversion Factor'!$F$4</f>
        <v>0</v>
      </c>
      <c r="N23" s="156">
        <f>Commercial_2!N23*'BTU Conversion Factor'!$F$4</f>
        <v>0</v>
      </c>
      <c r="O23" s="156">
        <f>Commercial_2!O23*'BTU Conversion Factor'!$F$4</f>
        <v>0</v>
      </c>
      <c r="P23" s="156">
        <f>Commercial_2!P23*'BTU Conversion Factor'!$F$4</f>
        <v>0</v>
      </c>
      <c r="Q23" s="156">
        <f>Commercial_2!Q23*'BTU Conversion Factor'!$F$4</f>
        <v>0</v>
      </c>
      <c r="R23" s="156">
        <f>Commercial_2!R23*'BTU Conversion Factor'!$F$4</f>
        <v>0</v>
      </c>
      <c r="S23" s="156">
        <f>Commercial_2!S23*'BTU Conversion Factor'!$F$4</f>
        <v>0</v>
      </c>
      <c r="T23" s="156">
        <f>Commercial_2!T23*'BTU Conversion Factor'!$F$4</f>
        <v>0</v>
      </c>
      <c r="U23" s="156">
        <f>Commercial_2!U23*'BTU Conversion Factor'!$F$4</f>
        <v>0</v>
      </c>
      <c r="V23" s="156">
        <f>Commercial_2!V23*'BTU Conversion Factor'!$F$4</f>
        <v>0</v>
      </c>
      <c r="W23" s="156">
        <f>Commercial_2!W23*'BTU Conversion Factor'!$F$4</f>
        <v>0</v>
      </c>
      <c r="X23" s="156">
        <f>Commercial_2!X23*'BTU Conversion Factor'!$F$4</f>
        <v>0</v>
      </c>
      <c r="Y23" s="156">
        <f>Commercial_2!Y23*'BTU Conversion Factor'!$F$4</f>
        <v>0</v>
      </c>
      <c r="Z23" s="156">
        <f>Commercial_2!Z23*'BTU Conversion Factor'!$F$4</f>
        <v>0</v>
      </c>
      <c r="AA23" s="156">
        <f>Commercial_2!AA23*'BTU Conversion Factor'!$F$4</f>
        <v>0</v>
      </c>
      <c r="AB23" s="156">
        <f>Commercial_2!AB23*'BTU Conversion Factor'!$F$4</f>
        <v>0</v>
      </c>
      <c r="AC23" s="156">
        <f>Commercial_2!AC23*'BTU Conversion Factor'!$F$4</f>
        <v>0</v>
      </c>
      <c r="AD23" s="156">
        <f>Commercial_2!AD23*'BTU Conversion Factor'!$F$4</f>
        <v>0</v>
      </c>
      <c r="AE23" s="156">
        <f>Commercial_2!AE23*'BTU Conversion Factor'!$F$4</f>
        <v>0</v>
      </c>
      <c r="AF23" s="156">
        <f>Commercial_2!AF23*'BTU Conversion Factor'!$F$4</f>
        <v>0</v>
      </c>
      <c r="AG23" s="156">
        <f>Commercial_2!AG23*'BTU Conversion Factor'!$F$4</f>
        <v>0</v>
      </c>
      <c r="AH23" s="156">
        <f>Commercial_2!AH23*'BTU Conversion Factor'!$F$4</f>
        <v>0</v>
      </c>
      <c r="AI23" s="156">
        <f>Commercial_2!AI23*'BTU Conversion Factor'!$F$4</f>
        <v>0</v>
      </c>
      <c r="AJ23" s="156">
        <f>Commercial_2!AJ23*'BTU Conversion Factor'!$F$4</f>
        <v>0</v>
      </c>
      <c r="AK23" s="156">
        <f>Commercial_2!AK23*'BTU Conversion Factor'!$F$4</f>
        <v>0</v>
      </c>
      <c r="AL23" s="156">
        <f>Commercial_2!AL23*'BTU Conversion Factor'!$F$4</f>
        <v>0</v>
      </c>
      <c r="AM23" s="156">
        <f>Commercial_2!AM23*'BTU Conversion Factor'!$F$4</f>
        <v>0</v>
      </c>
      <c r="AN23" s="156">
        <f>Commercial_2!AN23*'BTU Conversion Factor'!$F$4</f>
        <v>0</v>
      </c>
      <c r="AO23" s="156">
        <f>Commercial_2!AO23*'BTU Conversion Factor'!$F$4</f>
        <v>0</v>
      </c>
      <c r="AP23" s="156">
        <f>Commercial_2!AP23*'BTU Conversion Factor'!$F$4</f>
        <v>0</v>
      </c>
      <c r="AQ23" s="156">
        <f>Commercial_2!AQ23*'BTU Conversion Factor'!$F$4</f>
        <v>0</v>
      </c>
      <c r="AR23" s="156">
        <f>Commercial_2!AR23*'BTU Conversion Factor'!$F$4</f>
        <v>0</v>
      </c>
      <c r="AS23" s="156">
        <f>Commercial_2!AS23*'BTU Conversion Factor'!$F$4</f>
        <v>0</v>
      </c>
      <c r="AT23" s="156">
        <f>Commercial_2!AT23*'BTU Conversion Factor'!$F$4</f>
        <v>0</v>
      </c>
      <c r="AU23" s="156">
        <f>Commercial_2!AU23*'BTU Conversion Factor'!$F$4</f>
        <v>0</v>
      </c>
    </row>
    <row r="24" spans="1:47">
      <c r="B24" s="54" t="s">
        <v>959</v>
      </c>
      <c r="C24" s="156">
        <f>Commercial_2!C24*'BTU Conversion Factor'!$F$4</f>
        <v>0</v>
      </c>
      <c r="D24" s="156">
        <f>Commercial_2!D24*'BTU Conversion Factor'!$F$4</f>
        <v>0</v>
      </c>
      <c r="E24" s="156">
        <f>Commercial_2!E24*'BTU Conversion Factor'!$F$4</f>
        <v>0</v>
      </c>
      <c r="F24" s="156">
        <f>Commercial_2!F24*'BTU Conversion Factor'!$F$4</f>
        <v>0</v>
      </c>
      <c r="G24" s="156">
        <f>Commercial_2!G24*'BTU Conversion Factor'!$F$4</f>
        <v>0</v>
      </c>
      <c r="H24" s="156">
        <f>Commercial_2!H24*'BTU Conversion Factor'!$F$4</f>
        <v>0</v>
      </c>
      <c r="I24" s="156">
        <f>Commercial_2!I24*'BTU Conversion Factor'!$F$4</f>
        <v>0</v>
      </c>
      <c r="J24" s="156">
        <f>Commercial_2!J24*'BTU Conversion Factor'!$F$4</f>
        <v>0</v>
      </c>
      <c r="K24" s="156">
        <f>Commercial_2!K24*'BTU Conversion Factor'!$F$4</f>
        <v>0</v>
      </c>
      <c r="L24" s="156">
        <f>Commercial_2!L24*'BTU Conversion Factor'!$F$4</f>
        <v>0</v>
      </c>
      <c r="M24" s="156">
        <f>Commercial_2!M24*'BTU Conversion Factor'!$F$4</f>
        <v>0</v>
      </c>
      <c r="N24" s="156">
        <f>Commercial_2!N24*'BTU Conversion Factor'!$F$4</f>
        <v>0</v>
      </c>
      <c r="O24" s="156">
        <f>Commercial_2!O24*'BTU Conversion Factor'!$F$4</f>
        <v>0</v>
      </c>
      <c r="P24" s="156">
        <f>Commercial_2!P24*'BTU Conversion Factor'!$F$4</f>
        <v>0</v>
      </c>
      <c r="Q24" s="156">
        <f>Commercial_2!Q24*'BTU Conversion Factor'!$F$4</f>
        <v>0</v>
      </c>
      <c r="R24" s="156">
        <f>Commercial_2!R24*'BTU Conversion Factor'!$F$4</f>
        <v>0</v>
      </c>
      <c r="S24" s="156">
        <f>Commercial_2!S24*'BTU Conversion Factor'!$F$4</f>
        <v>0</v>
      </c>
      <c r="T24" s="156">
        <f>Commercial_2!T24*'BTU Conversion Factor'!$F$4</f>
        <v>0</v>
      </c>
      <c r="U24" s="156">
        <f>Commercial_2!U24*'BTU Conversion Factor'!$F$4</f>
        <v>0</v>
      </c>
      <c r="V24" s="156">
        <f>Commercial_2!V24*'BTU Conversion Factor'!$F$4</f>
        <v>0</v>
      </c>
      <c r="W24" s="156">
        <f>Commercial_2!W24*'BTU Conversion Factor'!$F$4</f>
        <v>0</v>
      </c>
      <c r="X24" s="156">
        <f>Commercial_2!X24*'BTU Conversion Factor'!$F$4</f>
        <v>0</v>
      </c>
      <c r="Y24" s="156">
        <f>Commercial_2!Y24*'BTU Conversion Factor'!$F$4</f>
        <v>0</v>
      </c>
      <c r="Z24" s="156">
        <f>Commercial_2!Z24*'BTU Conversion Factor'!$F$4</f>
        <v>0</v>
      </c>
      <c r="AA24" s="156">
        <f>Commercial_2!AA24*'BTU Conversion Factor'!$F$4</f>
        <v>0</v>
      </c>
      <c r="AB24" s="156">
        <f>Commercial_2!AB24*'BTU Conversion Factor'!$F$4</f>
        <v>0</v>
      </c>
      <c r="AC24" s="156">
        <f>Commercial_2!AC24*'BTU Conversion Factor'!$F$4</f>
        <v>0</v>
      </c>
      <c r="AD24" s="156">
        <f>Commercial_2!AD24*'BTU Conversion Factor'!$F$4</f>
        <v>0</v>
      </c>
      <c r="AE24" s="156">
        <f>Commercial_2!AE24*'BTU Conversion Factor'!$F$4</f>
        <v>0</v>
      </c>
      <c r="AF24" s="156">
        <f>Commercial_2!AF24*'BTU Conversion Factor'!$F$4</f>
        <v>0</v>
      </c>
      <c r="AG24" s="156">
        <f>Commercial_2!AG24*'BTU Conversion Factor'!$F$4</f>
        <v>0</v>
      </c>
      <c r="AH24" s="156">
        <f>Commercial_2!AH24*'BTU Conversion Factor'!$F$4</f>
        <v>0</v>
      </c>
      <c r="AI24" s="156">
        <f>Commercial_2!AI24*'BTU Conversion Factor'!$F$4</f>
        <v>0</v>
      </c>
      <c r="AJ24" s="156">
        <f>Commercial_2!AJ24*'BTU Conversion Factor'!$F$4</f>
        <v>0</v>
      </c>
      <c r="AK24" s="156">
        <f>Commercial_2!AK24*'BTU Conversion Factor'!$F$4</f>
        <v>0</v>
      </c>
      <c r="AL24" s="156">
        <f>Commercial_2!AL24*'BTU Conversion Factor'!$F$4</f>
        <v>0</v>
      </c>
      <c r="AM24" s="156">
        <f>Commercial_2!AM24*'BTU Conversion Factor'!$F$4</f>
        <v>0</v>
      </c>
      <c r="AN24" s="156">
        <f>Commercial_2!AN24*'BTU Conversion Factor'!$F$4</f>
        <v>0</v>
      </c>
      <c r="AO24" s="156">
        <f>Commercial_2!AO24*'BTU Conversion Factor'!$F$4</f>
        <v>0</v>
      </c>
      <c r="AP24" s="156">
        <f>Commercial_2!AP24*'BTU Conversion Factor'!$F$4</f>
        <v>0</v>
      </c>
      <c r="AQ24" s="156">
        <f>Commercial_2!AQ24*'BTU Conversion Factor'!$F$4</f>
        <v>0</v>
      </c>
      <c r="AR24" s="156">
        <f>Commercial_2!AR24*'BTU Conversion Factor'!$F$4</f>
        <v>0</v>
      </c>
      <c r="AS24" s="156">
        <f>Commercial_2!AS24*'BTU Conversion Factor'!$F$4</f>
        <v>0</v>
      </c>
      <c r="AT24" s="156">
        <f>Commercial_2!AT24*'BTU Conversion Factor'!$F$4</f>
        <v>0</v>
      </c>
      <c r="AU24" s="156">
        <f>Commercial_2!AU24*'BTU Conversion Factor'!$F$4</f>
        <v>0</v>
      </c>
    </row>
    <row r="25" spans="1:47">
      <c r="B25" s="54" t="s">
        <v>960</v>
      </c>
      <c r="C25" s="156">
        <f>Commercial_2!C25*'BTU Conversion Factor'!$F$4</f>
        <v>0</v>
      </c>
      <c r="D25" s="156">
        <f>Commercial_2!D25*'BTU Conversion Factor'!$F$4</f>
        <v>0</v>
      </c>
      <c r="E25" s="156">
        <f>Commercial_2!E25*'BTU Conversion Factor'!$F$4</f>
        <v>0</v>
      </c>
      <c r="F25" s="156">
        <f>Commercial_2!F25*'BTU Conversion Factor'!$F$4</f>
        <v>0</v>
      </c>
      <c r="G25" s="156">
        <f>Commercial_2!G25*'BTU Conversion Factor'!$F$4</f>
        <v>0</v>
      </c>
      <c r="H25" s="156">
        <f>Commercial_2!H25*'BTU Conversion Factor'!$F$4</f>
        <v>0</v>
      </c>
      <c r="I25" s="156">
        <f>Commercial_2!I25*'BTU Conversion Factor'!$F$4</f>
        <v>0</v>
      </c>
      <c r="J25" s="156">
        <f>Commercial_2!J25*'BTU Conversion Factor'!$F$4</f>
        <v>0</v>
      </c>
      <c r="K25" s="156">
        <f>Commercial_2!K25*'BTU Conversion Factor'!$F$4</f>
        <v>0</v>
      </c>
      <c r="L25" s="156">
        <f>Commercial_2!L25*'BTU Conversion Factor'!$F$4</f>
        <v>0</v>
      </c>
      <c r="M25" s="156">
        <f>Commercial_2!M25*'BTU Conversion Factor'!$F$4</f>
        <v>0</v>
      </c>
      <c r="N25" s="156">
        <f>Commercial_2!N25*'BTU Conversion Factor'!$F$4</f>
        <v>0</v>
      </c>
      <c r="O25" s="156">
        <f>Commercial_2!O25*'BTU Conversion Factor'!$F$4</f>
        <v>0</v>
      </c>
      <c r="P25" s="156">
        <f>Commercial_2!P25*'BTU Conversion Factor'!$F$4</f>
        <v>0</v>
      </c>
      <c r="Q25" s="156">
        <f>Commercial_2!Q25*'BTU Conversion Factor'!$F$4</f>
        <v>0</v>
      </c>
      <c r="R25" s="156">
        <f>Commercial_2!R25*'BTU Conversion Factor'!$F$4</f>
        <v>0</v>
      </c>
      <c r="S25" s="156">
        <f>Commercial_2!S25*'BTU Conversion Factor'!$F$4</f>
        <v>0</v>
      </c>
      <c r="T25" s="156">
        <f>Commercial_2!T25*'BTU Conversion Factor'!$F$4</f>
        <v>0</v>
      </c>
      <c r="U25" s="156">
        <f>Commercial_2!U25*'BTU Conversion Factor'!$F$4</f>
        <v>0</v>
      </c>
      <c r="V25" s="156">
        <f>Commercial_2!V25*'BTU Conversion Factor'!$F$4</f>
        <v>0</v>
      </c>
      <c r="W25" s="156">
        <f>Commercial_2!W25*'BTU Conversion Factor'!$F$4</f>
        <v>0</v>
      </c>
      <c r="X25" s="156">
        <f>Commercial_2!X25*'BTU Conversion Factor'!$F$4</f>
        <v>0</v>
      </c>
      <c r="Y25" s="156">
        <f>Commercial_2!Y25*'BTU Conversion Factor'!$F$4</f>
        <v>0</v>
      </c>
      <c r="Z25" s="156">
        <f>Commercial_2!Z25*'BTU Conversion Factor'!$F$4</f>
        <v>0</v>
      </c>
      <c r="AA25" s="156">
        <f>Commercial_2!AA25*'BTU Conversion Factor'!$F$4</f>
        <v>0</v>
      </c>
      <c r="AB25" s="156">
        <f>Commercial_2!AB25*'BTU Conversion Factor'!$F$4</f>
        <v>0</v>
      </c>
      <c r="AC25" s="156">
        <f>Commercial_2!AC25*'BTU Conversion Factor'!$F$4</f>
        <v>0</v>
      </c>
      <c r="AD25" s="156">
        <f>Commercial_2!AD25*'BTU Conversion Factor'!$F$4</f>
        <v>0</v>
      </c>
      <c r="AE25" s="156">
        <f>Commercial_2!AE25*'BTU Conversion Factor'!$F$4</f>
        <v>0</v>
      </c>
      <c r="AF25" s="156">
        <f>Commercial_2!AF25*'BTU Conversion Factor'!$F$4</f>
        <v>0</v>
      </c>
      <c r="AG25" s="156">
        <f>Commercial_2!AG25*'BTU Conversion Factor'!$F$4</f>
        <v>0</v>
      </c>
      <c r="AH25" s="156">
        <f>Commercial_2!AH25*'BTU Conversion Factor'!$F$4</f>
        <v>0</v>
      </c>
      <c r="AI25" s="156">
        <f>Commercial_2!AI25*'BTU Conversion Factor'!$F$4</f>
        <v>0</v>
      </c>
      <c r="AJ25" s="156">
        <f>Commercial_2!AJ25*'BTU Conversion Factor'!$F$4</f>
        <v>0</v>
      </c>
      <c r="AK25" s="156">
        <f>Commercial_2!AK25*'BTU Conversion Factor'!$F$4</f>
        <v>0</v>
      </c>
      <c r="AL25" s="156">
        <f>Commercial_2!AL25*'BTU Conversion Factor'!$F$4</f>
        <v>0</v>
      </c>
      <c r="AM25" s="156">
        <f>Commercial_2!AM25*'BTU Conversion Factor'!$F$4</f>
        <v>0</v>
      </c>
      <c r="AN25" s="156">
        <f>Commercial_2!AN25*'BTU Conversion Factor'!$F$4</f>
        <v>0</v>
      </c>
      <c r="AO25" s="156">
        <f>Commercial_2!AO25*'BTU Conversion Factor'!$F$4</f>
        <v>0</v>
      </c>
      <c r="AP25" s="156">
        <f>Commercial_2!AP25*'BTU Conversion Factor'!$F$4</f>
        <v>0</v>
      </c>
      <c r="AQ25" s="156">
        <f>Commercial_2!AQ25*'BTU Conversion Factor'!$F$4</f>
        <v>0</v>
      </c>
      <c r="AR25" s="156">
        <f>Commercial_2!AR25*'BTU Conversion Factor'!$F$4</f>
        <v>0</v>
      </c>
      <c r="AS25" s="156">
        <f>Commercial_2!AS25*'BTU Conversion Factor'!$F$4</f>
        <v>0</v>
      </c>
      <c r="AT25" s="156">
        <f>Commercial_2!AT25*'BTU Conversion Factor'!$F$4</f>
        <v>0</v>
      </c>
      <c r="AU25" s="156">
        <f>Commercial_2!AU25*'BTU Conversion Factor'!$F$4</f>
        <v>0</v>
      </c>
    </row>
    <row r="26" spans="1:47">
      <c r="B26" s="54" t="s">
        <v>961</v>
      </c>
      <c r="C26" s="156">
        <f>Commercial_2!C26*'BTU Conversion Factor'!$F$4</f>
        <v>0</v>
      </c>
      <c r="D26" s="156">
        <f>Commercial_2!D26*'BTU Conversion Factor'!$F$4</f>
        <v>0</v>
      </c>
      <c r="E26" s="156">
        <f>Commercial_2!E26*'BTU Conversion Factor'!$F$4</f>
        <v>0</v>
      </c>
      <c r="F26" s="156">
        <f>Commercial_2!F26*'BTU Conversion Factor'!$F$4</f>
        <v>0</v>
      </c>
      <c r="G26" s="156">
        <f>Commercial_2!G26*'BTU Conversion Factor'!$F$4</f>
        <v>0</v>
      </c>
      <c r="H26" s="156">
        <f>Commercial_2!H26*'BTU Conversion Factor'!$F$4</f>
        <v>0</v>
      </c>
      <c r="I26" s="156">
        <f>Commercial_2!I26*'BTU Conversion Factor'!$F$4</f>
        <v>0</v>
      </c>
      <c r="J26" s="156">
        <f>Commercial_2!J26*'BTU Conversion Factor'!$F$4</f>
        <v>0</v>
      </c>
      <c r="K26" s="156">
        <f>Commercial_2!K26*'BTU Conversion Factor'!$F$4</f>
        <v>0</v>
      </c>
      <c r="L26" s="156">
        <f>Commercial_2!L26*'BTU Conversion Factor'!$F$4</f>
        <v>0</v>
      </c>
      <c r="M26" s="156">
        <f>Commercial_2!M26*'BTU Conversion Factor'!$F$4</f>
        <v>0</v>
      </c>
      <c r="N26" s="156">
        <f>Commercial_2!N26*'BTU Conversion Factor'!$F$4</f>
        <v>0</v>
      </c>
      <c r="O26" s="156">
        <f>Commercial_2!O26*'BTU Conversion Factor'!$F$4</f>
        <v>0</v>
      </c>
      <c r="P26" s="156">
        <f>Commercial_2!P26*'BTU Conversion Factor'!$F$4</f>
        <v>0</v>
      </c>
      <c r="Q26" s="156">
        <f>Commercial_2!Q26*'BTU Conversion Factor'!$F$4</f>
        <v>0</v>
      </c>
      <c r="R26" s="156">
        <f>Commercial_2!R26*'BTU Conversion Factor'!$F$4</f>
        <v>0</v>
      </c>
      <c r="S26" s="156">
        <f>Commercial_2!S26*'BTU Conversion Factor'!$F$4</f>
        <v>0</v>
      </c>
      <c r="T26" s="156">
        <f>Commercial_2!T26*'BTU Conversion Factor'!$F$4</f>
        <v>0</v>
      </c>
      <c r="U26" s="156">
        <f>Commercial_2!U26*'BTU Conversion Factor'!$F$4</f>
        <v>0</v>
      </c>
      <c r="V26" s="156">
        <f>Commercial_2!V26*'BTU Conversion Factor'!$F$4</f>
        <v>0</v>
      </c>
      <c r="W26" s="156">
        <f>Commercial_2!W26*'BTU Conversion Factor'!$F$4</f>
        <v>0</v>
      </c>
      <c r="X26" s="156">
        <f>Commercial_2!X26*'BTU Conversion Factor'!$F$4</f>
        <v>0</v>
      </c>
      <c r="Y26" s="156">
        <f>Commercial_2!Y26*'BTU Conversion Factor'!$F$4</f>
        <v>0</v>
      </c>
      <c r="Z26" s="156">
        <f>Commercial_2!Z26*'BTU Conversion Factor'!$F$4</f>
        <v>0</v>
      </c>
      <c r="AA26" s="156">
        <f>Commercial_2!AA26*'BTU Conversion Factor'!$F$4</f>
        <v>0</v>
      </c>
      <c r="AB26" s="156">
        <f>Commercial_2!AB26*'BTU Conversion Factor'!$F$4</f>
        <v>0</v>
      </c>
      <c r="AC26" s="156">
        <f>Commercial_2!AC26*'BTU Conversion Factor'!$F$4</f>
        <v>0</v>
      </c>
      <c r="AD26" s="156">
        <f>Commercial_2!AD26*'BTU Conversion Factor'!$F$4</f>
        <v>0</v>
      </c>
      <c r="AE26" s="156">
        <f>Commercial_2!AE26*'BTU Conversion Factor'!$F$4</f>
        <v>0</v>
      </c>
      <c r="AF26" s="156">
        <f>Commercial_2!AF26*'BTU Conversion Factor'!$F$4</f>
        <v>0</v>
      </c>
      <c r="AG26" s="156">
        <f>Commercial_2!AG26*'BTU Conversion Factor'!$F$4</f>
        <v>0</v>
      </c>
      <c r="AH26" s="156">
        <f>Commercial_2!AH26*'BTU Conversion Factor'!$F$4</f>
        <v>0</v>
      </c>
      <c r="AI26" s="156">
        <f>Commercial_2!AI26*'BTU Conversion Factor'!$F$4</f>
        <v>0</v>
      </c>
      <c r="AJ26" s="156">
        <f>Commercial_2!AJ26*'BTU Conversion Factor'!$F$4</f>
        <v>0</v>
      </c>
      <c r="AK26" s="156">
        <f>Commercial_2!AK26*'BTU Conversion Factor'!$F$4</f>
        <v>0</v>
      </c>
      <c r="AL26" s="156">
        <f>Commercial_2!AL26*'BTU Conversion Factor'!$F$4</f>
        <v>0</v>
      </c>
      <c r="AM26" s="156">
        <f>Commercial_2!AM26*'BTU Conversion Factor'!$F$4</f>
        <v>0</v>
      </c>
      <c r="AN26" s="156">
        <f>Commercial_2!AN26*'BTU Conversion Factor'!$F$4</f>
        <v>0</v>
      </c>
      <c r="AO26" s="156">
        <f>Commercial_2!AO26*'BTU Conversion Factor'!$F$4</f>
        <v>0</v>
      </c>
      <c r="AP26" s="156">
        <f>Commercial_2!AP26*'BTU Conversion Factor'!$F$4</f>
        <v>0</v>
      </c>
      <c r="AQ26" s="156">
        <f>Commercial_2!AQ26*'BTU Conversion Factor'!$F$4</f>
        <v>0</v>
      </c>
      <c r="AR26" s="156">
        <f>Commercial_2!AR26*'BTU Conversion Factor'!$F$4</f>
        <v>0</v>
      </c>
      <c r="AS26" s="156">
        <f>Commercial_2!AS26*'BTU Conversion Factor'!$F$4</f>
        <v>0</v>
      </c>
      <c r="AT26" s="156">
        <f>Commercial_2!AT26*'BTU Conversion Factor'!$F$4</f>
        <v>0</v>
      </c>
      <c r="AU26" s="156">
        <f>Commercial_2!AU26*'BTU Conversion Factor'!$F$4</f>
        <v>0</v>
      </c>
    </row>
    <row r="27" spans="1:47">
      <c r="B27" s="54" t="s">
        <v>962</v>
      </c>
      <c r="C27" s="156">
        <f>Commercial_2!C27*'BTU Conversion Factor'!$F$4</f>
        <v>0</v>
      </c>
      <c r="D27" s="156">
        <f>Commercial_2!D27*'BTU Conversion Factor'!$F$4</f>
        <v>0</v>
      </c>
      <c r="E27" s="156">
        <f>Commercial_2!E27*'BTU Conversion Factor'!$F$4</f>
        <v>0</v>
      </c>
      <c r="F27" s="156">
        <f>Commercial_2!F27*'BTU Conversion Factor'!$F$4</f>
        <v>0</v>
      </c>
      <c r="G27" s="156">
        <f>Commercial_2!G27*'BTU Conversion Factor'!$F$4</f>
        <v>0</v>
      </c>
      <c r="H27" s="156">
        <f>Commercial_2!H27*'BTU Conversion Factor'!$F$4</f>
        <v>0</v>
      </c>
      <c r="I27" s="156">
        <f>Commercial_2!I27*'BTU Conversion Factor'!$F$4</f>
        <v>0</v>
      </c>
      <c r="J27" s="156">
        <f>Commercial_2!J27*'BTU Conversion Factor'!$F$4</f>
        <v>0</v>
      </c>
      <c r="K27" s="156">
        <f>Commercial_2!K27*'BTU Conversion Factor'!$F$4</f>
        <v>0</v>
      </c>
      <c r="L27" s="156">
        <f>Commercial_2!L27*'BTU Conversion Factor'!$F$4</f>
        <v>0</v>
      </c>
      <c r="M27" s="156">
        <f>Commercial_2!M27*'BTU Conversion Factor'!$F$4</f>
        <v>0</v>
      </c>
      <c r="N27" s="156">
        <f>Commercial_2!N27*'BTU Conversion Factor'!$F$4</f>
        <v>0</v>
      </c>
      <c r="O27" s="156">
        <f>Commercial_2!O27*'BTU Conversion Factor'!$F$4</f>
        <v>0</v>
      </c>
      <c r="P27" s="156">
        <f>Commercial_2!P27*'BTU Conversion Factor'!$F$4</f>
        <v>0</v>
      </c>
      <c r="Q27" s="156">
        <f>Commercial_2!Q27*'BTU Conversion Factor'!$F$4</f>
        <v>0</v>
      </c>
      <c r="R27" s="156">
        <f>Commercial_2!R27*'BTU Conversion Factor'!$F$4</f>
        <v>0</v>
      </c>
      <c r="S27" s="156">
        <f>Commercial_2!S27*'BTU Conversion Factor'!$F$4</f>
        <v>0</v>
      </c>
      <c r="T27" s="156">
        <f>Commercial_2!T27*'BTU Conversion Factor'!$F$4</f>
        <v>0</v>
      </c>
      <c r="U27" s="156">
        <f>Commercial_2!U27*'BTU Conversion Factor'!$F$4</f>
        <v>0</v>
      </c>
      <c r="V27" s="156">
        <f>Commercial_2!V27*'BTU Conversion Factor'!$F$4</f>
        <v>0</v>
      </c>
      <c r="W27" s="156">
        <f>Commercial_2!W27*'BTU Conversion Factor'!$F$4</f>
        <v>0</v>
      </c>
      <c r="X27" s="156">
        <f>Commercial_2!X27*'BTU Conversion Factor'!$F$4</f>
        <v>0</v>
      </c>
      <c r="Y27" s="156">
        <f>Commercial_2!Y27*'BTU Conversion Factor'!$F$4</f>
        <v>0</v>
      </c>
      <c r="Z27" s="156">
        <f>Commercial_2!Z27*'BTU Conversion Factor'!$F$4</f>
        <v>0</v>
      </c>
      <c r="AA27" s="156">
        <f>Commercial_2!AA27*'BTU Conversion Factor'!$F$4</f>
        <v>0</v>
      </c>
      <c r="AB27" s="156">
        <f>Commercial_2!AB27*'BTU Conversion Factor'!$F$4</f>
        <v>0</v>
      </c>
      <c r="AC27" s="156">
        <f>Commercial_2!AC27*'BTU Conversion Factor'!$F$4</f>
        <v>0</v>
      </c>
      <c r="AD27" s="156">
        <f>Commercial_2!AD27*'BTU Conversion Factor'!$F$4</f>
        <v>0</v>
      </c>
      <c r="AE27" s="156">
        <f>Commercial_2!AE27*'BTU Conversion Factor'!$F$4</f>
        <v>0</v>
      </c>
      <c r="AF27" s="156">
        <f>Commercial_2!AF27*'BTU Conversion Factor'!$F$4</f>
        <v>0</v>
      </c>
      <c r="AG27" s="156">
        <f>Commercial_2!AG27*'BTU Conversion Factor'!$F$4</f>
        <v>0</v>
      </c>
      <c r="AH27" s="156">
        <f>Commercial_2!AH27*'BTU Conversion Factor'!$F$4</f>
        <v>0</v>
      </c>
      <c r="AI27" s="156">
        <f>Commercial_2!AI27*'BTU Conversion Factor'!$F$4</f>
        <v>0</v>
      </c>
      <c r="AJ27" s="156">
        <f>Commercial_2!AJ27*'BTU Conversion Factor'!$F$4</f>
        <v>0</v>
      </c>
      <c r="AK27" s="156">
        <f>Commercial_2!AK27*'BTU Conversion Factor'!$F$4</f>
        <v>0</v>
      </c>
      <c r="AL27" s="156">
        <f>Commercial_2!AL27*'BTU Conversion Factor'!$F$4</f>
        <v>0</v>
      </c>
      <c r="AM27" s="156">
        <f>Commercial_2!AM27*'BTU Conversion Factor'!$F$4</f>
        <v>0</v>
      </c>
      <c r="AN27" s="156">
        <f>Commercial_2!AN27*'BTU Conversion Factor'!$F$4</f>
        <v>0</v>
      </c>
      <c r="AO27" s="156">
        <f>Commercial_2!AO27*'BTU Conversion Factor'!$F$4</f>
        <v>0</v>
      </c>
      <c r="AP27" s="156">
        <f>Commercial_2!AP27*'BTU Conversion Factor'!$F$4</f>
        <v>0</v>
      </c>
      <c r="AQ27" s="156">
        <f>Commercial_2!AQ27*'BTU Conversion Factor'!$F$4</f>
        <v>0</v>
      </c>
      <c r="AR27" s="156">
        <f>Commercial_2!AR27*'BTU Conversion Factor'!$F$4</f>
        <v>0</v>
      </c>
      <c r="AS27" s="156">
        <f>Commercial_2!AS27*'BTU Conversion Factor'!$F$4</f>
        <v>0</v>
      </c>
      <c r="AT27" s="156">
        <f>Commercial_2!AT27*'BTU Conversion Factor'!$F$4</f>
        <v>0</v>
      </c>
      <c r="AU27" s="156">
        <f>Commercial_2!AU27*'BTU Conversion Factor'!$F$4</f>
        <v>0</v>
      </c>
    </row>
    <row r="28" spans="1:47">
      <c r="B28" s="54" t="s">
        <v>963</v>
      </c>
      <c r="C28" s="156">
        <f>Commercial_2!C28*'BTU Conversion Factor'!$F$4</f>
        <v>0</v>
      </c>
      <c r="D28" s="156">
        <f>Commercial_2!D28*'BTU Conversion Factor'!$F$4</f>
        <v>0</v>
      </c>
      <c r="E28" s="156">
        <f>Commercial_2!E28*'BTU Conversion Factor'!$F$4</f>
        <v>0</v>
      </c>
      <c r="F28" s="156">
        <f>Commercial_2!F28*'BTU Conversion Factor'!$F$4</f>
        <v>0</v>
      </c>
      <c r="G28" s="156">
        <f>Commercial_2!G28*'BTU Conversion Factor'!$F$4</f>
        <v>0</v>
      </c>
      <c r="H28" s="156">
        <f>Commercial_2!H28*'BTU Conversion Factor'!$F$4</f>
        <v>0</v>
      </c>
      <c r="I28" s="156">
        <f>Commercial_2!I28*'BTU Conversion Factor'!$F$4</f>
        <v>0</v>
      </c>
      <c r="J28" s="156">
        <f>Commercial_2!J28*'BTU Conversion Factor'!$F$4</f>
        <v>0</v>
      </c>
      <c r="K28" s="156">
        <f>Commercial_2!K28*'BTU Conversion Factor'!$F$4</f>
        <v>0</v>
      </c>
      <c r="L28" s="156">
        <f>Commercial_2!L28*'BTU Conversion Factor'!$F$4</f>
        <v>0</v>
      </c>
      <c r="M28" s="156">
        <f>Commercial_2!M28*'BTU Conversion Factor'!$F$4</f>
        <v>0</v>
      </c>
      <c r="N28" s="156">
        <f>Commercial_2!N28*'BTU Conversion Factor'!$F$4</f>
        <v>0</v>
      </c>
      <c r="O28" s="156">
        <f>Commercial_2!O28*'BTU Conversion Factor'!$F$4</f>
        <v>0</v>
      </c>
      <c r="P28" s="156">
        <f>Commercial_2!P28*'BTU Conversion Factor'!$F$4</f>
        <v>0</v>
      </c>
      <c r="Q28" s="156">
        <f>Commercial_2!Q28*'BTU Conversion Factor'!$F$4</f>
        <v>0</v>
      </c>
      <c r="R28" s="156">
        <f>Commercial_2!R28*'BTU Conversion Factor'!$F$4</f>
        <v>0</v>
      </c>
      <c r="S28" s="156">
        <f>Commercial_2!S28*'BTU Conversion Factor'!$F$4</f>
        <v>0</v>
      </c>
      <c r="T28" s="156">
        <f>Commercial_2!T28*'BTU Conversion Factor'!$F$4</f>
        <v>0</v>
      </c>
      <c r="U28" s="156">
        <f>Commercial_2!U28*'BTU Conversion Factor'!$F$4</f>
        <v>0</v>
      </c>
      <c r="V28" s="156">
        <f>Commercial_2!V28*'BTU Conversion Factor'!$F$4</f>
        <v>0</v>
      </c>
      <c r="W28" s="156">
        <f>Commercial_2!W28*'BTU Conversion Factor'!$F$4</f>
        <v>0</v>
      </c>
      <c r="X28" s="156">
        <f>Commercial_2!X28*'BTU Conversion Factor'!$F$4</f>
        <v>0</v>
      </c>
      <c r="Y28" s="156">
        <f>Commercial_2!Y28*'BTU Conversion Factor'!$F$4</f>
        <v>0</v>
      </c>
      <c r="Z28" s="156">
        <f>Commercial_2!Z28*'BTU Conversion Factor'!$F$4</f>
        <v>0</v>
      </c>
      <c r="AA28" s="156">
        <f>Commercial_2!AA28*'BTU Conversion Factor'!$F$4</f>
        <v>0</v>
      </c>
      <c r="AB28" s="156">
        <f>Commercial_2!AB28*'BTU Conversion Factor'!$F$4</f>
        <v>0</v>
      </c>
      <c r="AC28" s="156">
        <f>Commercial_2!AC28*'BTU Conversion Factor'!$F$4</f>
        <v>0</v>
      </c>
      <c r="AD28" s="156">
        <f>Commercial_2!AD28*'BTU Conversion Factor'!$F$4</f>
        <v>0</v>
      </c>
      <c r="AE28" s="156">
        <f>Commercial_2!AE28*'BTU Conversion Factor'!$F$4</f>
        <v>0</v>
      </c>
      <c r="AF28" s="156">
        <f>Commercial_2!AF28*'BTU Conversion Factor'!$F$4</f>
        <v>0</v>
      </c>
      <c r="AG28" s="156">
        <f>Commercial_2!AG28*'BTU Conversion Factor'!$F$4</f>
        <v>0</v>
      </c>
      <c r="AH28" s="156">
        <f>Commercial_2!AH28*'BTU Conversion Factor'!$F$4</f>
        <v>0</v>
      </c>
      <c r="AI28" s="156">
        <f>Commercial_2!AI28*'BTU Conversion Factor'!$F$4</f>
        <v>0</v>
      </c>
      <c r="AJ28" s="156">
        <f>Commercial_2!AJ28*'BTU Conversion Factor'!$F$4</f>
        <v>0</v>
      </c>
      <c r="AK28" s="156">
        <f>Commercial_2!AK28*'BTU Conversion Factor'!$F$4</f>
        <v>0</v>
      </c>
      <c r="AL28" s="156">
        <f>Commercial_2!AL28*'BTU Conversion Factor'!$F$4</f>
        <v>0</v>
      </c>
      <c r="AM28" s="156">
        <f>Commercial_2!AM28*'BTU Conversion Factor'!$F$4</f>
        <v>0</v>
      </c>
      <c r="AN28" s="156">
        <f>Commercial_2!AN28*'BTU Conversion Factor'!$F$4</f>
        <v>0</v>
      </c>
      <c r="AO28" s="156">
        <f>Commercial_2!AO28*'BTU Conversion Factor'!$F$4</f>
        <v>0</v>
      </c>
      <c r="AP28" s="156">
        <f>Commercial_2!AP28*'BTU Conversion Factor'!$F$4</f>
        <v>0</v>
      </c>
      <c r="AQ28" s="156">
        <f>Commercial_2!AQ28*'BTU Conversion Factor'!$F$4</f>
        <v>0</v>
      </c>
      <c r="AR28" s="156">
        <f>Commercial_2!AR28*'BTU Conversion Factor'!$F$4</f>
        <v>0</v>
      </c>
      <c r="AS28" s="156">
        <f>Commercial_2!AS28*'BTU Conversion Factor'!$F$4</f>
        <v>0</v>
      </c>
      <c r="AT28" s="156">
        <f>Commercial_2!AT28*'BTU Conversion Factor'!$F$4</f>
        <v>0</v>
      </c>
      <c r="AU28" s="156">
        <f>Commercial_2!AU28*'BTU Conversion Factor'!$F$4</f>
        <v>0</v>
      </c>
    </row>
    <row r="30" spans="1:47" s="58" customFormat="1">
      <c r="A30" s="108" t="s">
        <v>939</v>
      </c>
    </row>
    <row r="31" spans="1:47" s="54" customFormat="1">
      <c r="B31" s="54" t="s">
        <v>481</v>
      </c>
      <c r="C31" s="54">
        <v>2006</v>
      </c>
      <c r="D31" s="54">
        <v>2007</v>
      </c>
      <c r="E31" s="54">
        <v>2008</v>
      </c>
      <c r="F31" s="54">
        <v>2009</v>
      </c>
      <c r="G31" s="54">
        <v>2010</v>
      </c>
      <c r="H31" s="54">
        <v>2011</v>
      </c>
      <c r="I31" s="54">
        <v>2012</v>
      </c>
      <c r="J31" s="54">
        <v>2013</v>
      </c>
      <c r="K31" s="54">
        <v>2014</v>
      </c>
      <c r="L31" s="54">
        <v>2015</v>
      </c>
      <c r="M31" s="54">
        <v>2016</v>
      </c>
      <c r="N31" s="54">
        <v>2017</v>
      </c>
      <c r="O31" s="54">
        <v>2018</v>
      </c>
      <c r="P31" s="54">
        <v>2019</v>
      </c>
      <c r="Q31" s="54">
        <v>2020</v>
      </c>
      <c r="R31" s="54">
        <v>2021</v>
      </c>
      <c r="S31" s="54">
        <v>2022</v>
      </c>
      <c r="T31" s="54">
        <v>2023</v>
      </c>
      <c r="U31" s="54">
        <v>2024</v>
      </c>
      <c r="V31" s="54">
        <v>2025</v>
      </c>
      <c r="W31" s="54">
        <v>2026</v>
      </c>
      <c r="X31" s="54">
        <v>2027</v>
      </c>
      <c r="Y31" s="54">
        <v>2028</v>
      </c>
      <c r="Z31" s="54">
        <v>2029</v>
      </c>
      <c r="AA31" s="54">
        <v>2030</v>
      </c>
      <c r="AB31" s="54">
        <v>2031</v>
      </c>
      <c r="AC31" s="54">
        <v>2032</v>
      </c>
      <c r="AD31" s="54">
        <v>2033</v>
      </c>
      <c r="AE31" s="54">
        <v>2034</v>
      </c>
      <c r="AF31" s="54">
        <v>2035</v>
      </c>
      <c r="AG31" s="54">
        <v>2036</v>
      </c>
      <c r="AH31" s="54">
        <v>2037</v>
      </c>
      <c r="AI31" s="54">
        <v>2038</v>
      </c>
      <c r="AJ31" s="54">
        <v>2039</v>
      </c>
      <c r="AK31" s="54">
        <v>2040</v>
      </c>
      <c r="AL31" s="54">
        <v>2041</v>
      </c>
      <c r="AM31" s="54">
        <v>2042</v>
      </c>
      <c r="AN31" s="54">
        <v>2043</v>
      </c>
      <c r="AO31" s="54">
        <v>2044</v>
      </c>
      <c r="AP31" s="54">
        <v>2045</v>
      </c>
      <c r="AQ31" s="54">
        <v>2046</v>
      </c>
      <c r="AR31" s="54">
        <v>2047</v>
      </c>
      <c r="AS31" s="54">
        <v>2048</v>
      </c>
      <c r="AT31" s="54">
        <v>2049</v>
      </c>
      <c r="AU31" s="54">
        <v>2050</v>
      </c>
    </row>
    <row r="32" spans="1:47">
      <c r="B32" s="54" t="s">
        <v>958</v>
      </c>
      <c r="C32" s="156">
        <f>Commercial_2!C32*'BTU Conversion Factor'!$F$4</f>
        <v>15035794942000</v>
      </c>
      <c r="D32" s="156">
        <f>Commercial_2!D32*'BTU Conversion Factor'!$F$4</f>
        <v>16086868809666.572</v>
      </c>
      <c r="E32" s="156">
        <f>Commercial_2!E32*'BTU Conversion Factor'!$F$4</f>
        <v>17137942677333.021</v>
      </c>
      <c r="F32" s="156">
        <f>Commercial_2!F32*'BTU Conversion Factor'!$F$4</f>
        <v>18189016544999.91</v>
      </c>
      <c r="G32" s="156">
        <f>Commercial_2!G32*'BTU Conversion Factor'!$F$4</f>
        <v>19240090412666.359</v>
      </c>
      <c r="H32" s="156">
        <f>Commercial_2!H32*'BTU Conversion Factor'!$F$4</f>
        <v>20291164280333.25</v>
      </c>
      <c r="I32" s="156">
        <f>Commercial_2!I32*'BTU Conversion Factor'!$F$4</f>
        <v>21342238148000.004</v>
      </c>
      <c r="J32" s="156">
        <f>Commercial_2!J32*'BTU Conversion Factor'!$F$4</f>
        <v>21314714036000.004</v>
      </c>
      <c r="K32" s="156">
        <f>Commercial_2!K32*'BTU Conversion Factor'!$F$4</f>
        <v>21575359036000.004</v>
      </c>
      <c r="L32" s="156">
        <f>Commercial_2!L32*'BTU Conversion Factor'!$F$4</f>
        <v>20828729586000.004</v>
      </c>
      <c r="M32" s="156">
        <f>Commercial_2!M32*'BTU Conversion Factor'!$F$4</f>
        <v>20866944882000.004</v>
      </c>
      <c r="N32" s="156">
        <f>Commercial_2!N32*'BTU Conversion Factor'!$F$4</f>
        <v>21825161204000</v>
      </c>
      <c r="O32" s="156">
        <f>Commercial_2!O32*'BTU Conversion Factor'!$F$4</f>
        <v>22163374156000</v>
      </c>
      <c r="P32" s="156">
        <f>Commercial_2!P32*'BTU Conversion Factor'!$F$4</f>
        <v>20470205280000.004</v>
      </c>
      <c r="Q32" s="156">
        <f>Commercial_2!Q32*'BTU Conversion Factor'!$F$4</f>
        <v>16461760042000</v>
      </c>
      <c r="R32" s="156">
        <f>Commercial_2!R32*'BTU Conversion Factor'!$F$4</f>
        <v>18295572960000</v>
      </c>
      <c r="S32" s="156">
        <f>Commercial_2!S32*'BTU Conversion Factor'!$F$4</f>
        <v>18783617572455.445</v>
      </c>
      <c r="T32" s="156">
        <f>Commercial_2!T32*'BTU Conversion Factor'!$F$4</f>
        <v>18974332928791.816</v>
      </c>
      <c r="U32" s="156">
        <f>Commercial_2!U32*'BTU Conversion Factor'!$F$4</f>
        <v>19165770469979.715</v>
      </c>
      <c r="V32" s="156">
        <f>Commercial_2!V32*'BTU Conversion Factor'!$F$4</f>
        <v>19270011180080.066</v>
      </c>
      <c r="W32" s="156">
        <f>Commercial_2!W32*'BTU Conversion Factor'!$F$4</f>
        <v>19413325836092.723</v>
      </c>
      <c r="X32" s="156">
        <f>Commercial_2!X32*'BTU Conversion Factor'!$F$4</f>
        <v>19556640492105.375</v>
      </c>
      <c r="Y32" s="156">
        <f>Commercial_2!Y32*'BTU Conversion Factor'!$F$4</f>
        <v>19699955148118.035</v>
      </c>
      <c r="Z32" s="156">
        <f>Commercial_2!Z32*'BTU Conversion Factor'!$F$4</f>
        <v>19843269804130.695</v>
      </c>
      <c r="AA32" s="156">
        <f>Commercial_2!AA32*'BTU Conversion Factor'!$F$4</f>
        <v>19986584460143.352</v>
      </c>
      <c r="AB32" s="156">
        <f>Commercial_2!AB32*'BTU Conversion Factor'!$F$4</f>
        <v>20129899116156.004</v>
      </c>
      <c r="AC32" s="156">
        <f>Commercial_2!AC32*'BTU Conversion Factor'!$F$4</f>
        <v>20273213772168.668</v>
      </c>
      <c r="AD32" s="156">
        <f>Commercial_2!AD32*'BTU Conversion Factor'!$F$4</f>
        <v>20416528428181.328</v>
      </c>
      <c r="AE32" s="156">
        <f>Commercial_2!AE32*'BTU Conversion Factor'!$F$4</f>
        <v>20559843084193.98</v>
      </c>
      <c r="AF32" s="156">
        <f>Commercial_2!AF32*'BTU Conversion Factor'!$F$4</f>
        <v>20703157740206.633</v>
      </c>
      <c r="AG32" s="156">
        <f>Commercial_2!AG32*'BTU Conversion Factor'!$F$4</f>
        <v>20846472396219.25</v>
      </c>
      <c r="AH32" s="156">
        <f>Commercial_2!AH32*'BTU Conversion Factor'!$F$4</f>
        <v>20989787052231.914</v>
      </c>
      <c r="AI32" s="156">
        <f>Commercial_2!AI32*'BTU Conversion Factor'!$F$4</f>
        <v>21133101708244.566</v>
      </c>
      <c r="AJ32" s="156">
        <f>Commercial_2!AJ32*'BTU Conversion Factor'!$F$4</f>
        <v>21276416364257.223</v>
      </c>
      <c r="AK32" s="156">
        <f>Commercial_2!AK32*'BTU Conversion Factor'!$F$4</f>
        <v>21419731020269.879</v>
      </c>
      <c r="AL32" s="156">
        <f>Commercial_2!AL32*'BTU Conversion Factor'!$F$4</f>
        <v>21563045676282.539</v>
      </c>
      <c r="AM32" s="156">
        <f>Commercial_2!AM32*'BTU Conversion Factor'!$F$4</f>
        <v>21706360332295.199</v>
      </c>
      <c r="AN32" s="156">
        <f>Commercial_2!AN32*'BTU Conversion Factor'!$F$4</f>
        <v>21849674988307.855</v>
      </c>
      <c r="AO32" s="156">
        <f>Commercial_2!AO32*'BTU Conversion Factor'!$F$4</f>
        <v>21992989644320.508</v>
      </c>
      <c r="AP32" s="156">
        <f>Commercial_2!AP32*'BTU Conversion Factor'!$F$4</f>
        <v>22136304300333.168</v>
      </c>
      <c r="AQ32" s="156">
        <f>Commercial_2!AQ32*'BTU Conversion Factor'!$F$4</f>
        <v>22279618956345.828</v>
      </c>
      <c r="AR32" s="156">
        <f>Commercial_2!AR32*'BTU Conversion Factor'!$F$4</f>
        <v>22422933612358.484</v>
      </c>
      <c r="AS32" s="156">
        <f>Commercial_2!AS32*'BTU Conversion Factor'!$F$4</f>
        <v>22566248268371.141</v>
      </c>
      <c r="AT32" s="156">
        <f>Commercial_2!AT32*'BTU Conversion Factor'!$F$4</f>
        <v>22709562924383.801</v>
      </c>
      <c r="AU32" s="156">
        <f>Commercial_2!AU32*'BTU Conversion Factor'!$F$4</f>
        <v>22852877580396.457</v>
      </c>
    </row>
    <row r="33" spans="1:47">
      <c r="B33" s="54" t="s">
        <v>959</v>
      </c>
      <c r="C33" s="156">
        <f>Commercial_2!C33*'BTU Conversion Factor'!$F$4</f>
        <v>2338563150507.4595</v>
      </c>
      <c r="D33" s="156">
        <f>Commercial_2!D33*'BTU Conversion Factor'!$F$4</f>
        <v>2082758358756.2036</v>
      </c>
      <c r="E33" s="156">
        <f>Commercial_2!E33*'BTU Conversion Factor'!$F$4</f>
        <v>1826953567004.9629</v>
      </c>
      <c r="F33" s="156">
        <f>Commercial_2!F33*'BTU Conversion Factor'!$F$4</f>
        <v>1571148775253.7222</v>
      </c>
      <c r="G33" s="156">
        <f>Commercial_2!G33*'BTU Conversion Factor'!$F$4</f>
        <v>1315343983502.4814</v>
      </c>
      <c r="H33" s="156">
        <f>Commercial_2!H33*'BTU Conversion Factor'!$F$4</f>
        <v>1059539191751.2407</v>
      </c>
      <c r="I33" s="156">
        <f>Commercial_2!I33*'BTU Conversion Factor'!$F$4</f>
        <v>803734400000</v>
      </c>
      <c r="J33" s="156">
        <f>Commercial_2!J33*'BTU Conversion Factor'!$F$4</f>
        <v>699950300000</v>
      </c>
      <c r="K33" s="156">
        <f>Commercial_2!K33*'BTU Conversion Factor'!$F$4</f>
        <v>678150900000</v>
      </c>
      <c r="L33" s="156">
        <f>Commercial_2!L33*'BTU Conversion Factor'!$F$4</f>
        <v>585266500000</v>
      </c>
      <c r="M33" s="156">
        <f>Commercial_2!M33*'BTU Conversion Factor'!$F$4</f>
        <v>482904100000</v>
      </c>
      <c r="N33" s="156">
        <f>Commercial_2!N33*'BTU Conversion Factor'!$F$4</f>
        <v>393337000000</v>
      </c>
      <c r="O33" s="156">
        <f>Commercial_2!O33*'BTU Conversion Factor'!$F$4</f>
        <v>319882500000</v>
      </c>
      <c r="P33" s="156">
        <f>Commercial_2!P33*'BTU Conversion Factor'!$F$4</f>
        <v>272018600000</v>
      </c>
      <c r="Q33" s="156">
        <f>Commercial_2!Q33*'BTU Conversion Factor'!$F$4</f>
        <v>236002200000</v>
      </c>
      <c r="R33" s="156">
        <f>Commercial_2!R33*'BTU Conversion Factor'!$F$4</f>
        <v>232211000000</v>
      </c>
      <c r="S33" s="156">
        <f>Commercial_2!S33*'BTU Conversion Factor'!$F$4</f>
        <v>0</v>
      </c>
      <c r="T33" s="156">
        <f>Commercial_2!T33*'BTU Conversion Factor'!$F$4</f>
        <v>592490070788.22559</v>
      </c>
      <c r="U33" s="156">
        <f>Commercial_2!U33*'BTU Conversion Factor'!$F$4</f>
        <v>596963062548.92029</v>
      </c>
      <c r="V33" s="156">
        <f>Commercial_2!V33*'BTU Conversion Factor'!$F$4</f>
        <v>601436054309.61499</v>
      </c>
      <c r="W33" s="156">
        <f>Commercial_2!W33*'BTU Conversion Factor'!$F$4</f>
        <v>605909046070.30969</v>
      </c>
      <c r="X33" s="156">
        <f>Commercial_2!X33*'BTU Conversion Factor'!$F$4</f>
        <v>610382037831.00427</v>
      </c>
      <c r="Y33" s="156">
        <f>Commercial_2!Y33*'BTU Conversion Factor'!$F$4</f>
        <v>614855029591.6991</v>
      </c>
      <c r="Z33" s="156">
        <f>Commercial_2!Z33*'BTU Conversion Factor'!$F$4</f>
        <v>619328021352.39368</v>
      </c>
      <c r="AA33" s="156">
        <f>Commercial_2!AA33*'BTU Conversion Factor'!$F$4</f>
        <v>623801013113.08838</v>
      </c>
      <c r="AB33" s="156">
        <f>Commercial_2!AB33*'BTU Conversion Factor'!$F$4</f>
        <v>628274004873.78296</v>
      </c>
      <c r="AC33" s="156">
        <f>Commercial_2!AC33*'BTU Conversion Factor'!$F$4</f>
        <v>632746996634.47778</v>
      </c>
      <c r="AD33" s="156">
        <f>Commercial_2!AD33*'BTU Conversion Factor'!$F$4</f>
        <v>637219988395.17249</v>
      </c>
      <c r="AE33" s="156">
        <f>Commercial_2!AE33*'BTU Conversion Factor'!$F$4</f>
        <v>641692980155.86707</v>
      </c>
      <c r="AF33" s="156">
        <f>Commercial_2!AF33*'BTU Conversion Factor'!$F$4</f>
        <v>646165971916.56177</v>
      </c>
      <c r="AG33" s="156">
        <f>Commercial_2!AG33*'BTU Conversion Factor'!$F$4</f>
        <v>650638963677.255</v>
      </c>
      <c r="AH33" s="156">
        <f>Commercial_2!AH33*'BTU Conversion Factor'!$F$4</f>
        <v>655111955437.94995</v>
      </c>
      <c r="AI33" s="156">
        <f>Commercial_2!AI33*'BTU Conversion Factor'!$F$4</f>
        <v>659584947198.64441</v>
      </c>
      <c r="AJ33" s="156">
        <f>Commercial_2!AJ33*'BTU Conversion Factor'!$F$4</f>
        <v>664057938959.33911</v>
      </c>
      <c r="AK33" s="156">
        <f>Commercial_2!AK33*'BTU Conversion Factor'!$F$4</f>
        <v>668530930720.03369</v>
      </c>
      <c r="AL33" s="156">
        <f>Commercial_2!AL33*'BTU Conversion Factor'!$F$4</f>
        <v>673003922480.72852</v>
      </c>
      <c r="AM33" s="156">
        <f>Commercial_2!AM33*'BTU Conversion Factor'!$F$4</f>
        <v>677476914241.42322</v>
      </c>
      <c r="AN33" s="156">
        <f>Commercial_2!AN33*'BTU Conversion Factor'!$F$4</f>
        <v>681949906002.1178</v>
      </c>
      <c r="AO33" s="156">
        <f>Commercial_2!AO33*'BTU Conversion Factor'!$F$4</f>
        <v>686422897762.81238</v>
      </c>
      <c r="AP33" s="156">
        <f>Commercial_2!AP33*'BTU Conversion Factor'!$F$4</f>
        <v>690895889523.5072</v>
      </c>
      <c r="AQ33" s="156">
        <f>Commercial_2!AQ33*'BTU Conversion Factor'!$F$4</f>
        <v>695368881284.2019</v>
      </c>
      <c r="AR33" s="156">
        <f>Commercial_2!AR33*'BTU Conversion Factor'!$F$4</f>
        <v>699841873044.89636</v>
      </c>
      <c r="AS33" s="156">
        <f>Commercial_2!AS33*'BTU Conversion Factor'!$F$4</f>
        <v>704314864805.59119</v>
      </c>
      <c r="AT33" s="156">
        <f>Commercial_2!AT33*'BTU Conversion Factor'!$F$4</f>
        <v>708787856566.28601</v>
      </c>
      <c r="AU33" s="156">
        <f>Commercial_2!AU33*'BTU Conversion Factor'!$F$4</f>
        <v>713260848326.98071</v>
      </c>
    </row>
    <row r="34" spans="1:47">
      <c r="B34" s="54" t="s">
        <v>960</v>
      </c>
      <c r="C34" s="156">
        <f>Commercial_2!C34*'BTU Conversion Factor'!$F$4</f>
        <v>12916107902985.08</v>
      </c>
      <c r="D34" s="156">
        <f>Commercial_2!D34*'BTU Conversion Factor'!$F$4</f>
        <v>13019187252487.588</v>
      </c>
      <c r="E34" s="156">
        <f>Commercial_2!E34*'BTU Conversion Factor'!$F$4</f>
        <v>13122266601990.07</v>
      </c>
      <c r="F34" s="156">
        <f>Commercial_2!F34*'BTU Conversion Factor'!$F$4</f>
        <v>13225345951492.553</v>
      </c>
      <c r="G34" s="156">
        <f>Commercial_2!G34*'BTU Conversion Factor'!$F$4</f>
        <v>13328425300995.035</v>
      </c>
      <c r="H34" s="156">
        <f>Commercial_2!H34*'BTU Conversion Factor'!$F$4</f>
        <v>13431504650497.545</v>
      </c>
      <c r="I34" s="156">
        <f>Commercial_2!I34*'BTU Conversion Factor'!$F$4</f>
        <v>13534584000000</v>
      </c>
      <c r="J34" s="156">
        <f>Commercial_2!J34*'BTU Conversion Factor'!$F$4</f>
        <v>13754473600000</v>
      </c>
      <c r="K34" s="156">
        <f>Commercial_2!K34*'BTU Conversion Factor'!$F$4</f>
        <v>13944981400000</v>
      </c>
      <c r="L34" s="156">
        <f>Commercial_2!L34*'BTU Conversion Factor'!$F$4</f>
        <v>13776273000000</v>
      </c>
      <c r="M34" s="156">
        <f>Commercial_2!M34*'BTU Conversion Factor'!$F$4</f>
        <v>13838827800000</v>
      </c>
      <c r="N34" s="156">
        <f>Commercial_2!N34*'BTU Conversion Factor'!$F$4</f>
        <v>14129802400000</v>
      </c>
      <c r="O34" s="156">
        <f>Commercial_2!O34*'BTU Conversion Factor'!$F$4</f>
        <v>14457741200000</v>
      </c>
      <c r="P34" s="156">
        <f>Commercial_2!P34*'BTU Conversion Factor'!$F$4</f>
        <v>13686232000000</v>
      </c>
      <c r="Q34" s="156">
        <f>Commercial_2!Q34*'BTU Conversion Factor'!$F$4</f>
        <v>11228586600000</v>
      </c>
      <c r="R34" s="156">
        <f>Commercial_2!R34*'BTU Conversion Factor'!$F$4</f>
        <v>11708173400000</v>
      </c>
      <c r="S34" s="156">
        <f>Commercial_2!S34*'BTU Conversion Factor'!$F$4</f>
        <v>14457741200000</v>
      </c>
      <c r="T34" s="156">
        <f>Commercial_2!T34*'BTU Conversion Factor'!$F$4</f>
        <v>14457741200000</v>
      </c>
      <c r="U34" s="156">
        <f>Commercial_2!U34*'BTU Conversion Factor'!$F$4</f>
        <v>14457741200000</v>
      </c>
      <c r="V34" s="156">
        <f>Commercial_2!V34*'BTU Conversion Factor'!$F$4</f>
        <v>14457741200000</v>
      </c>
      <c r="W34" s="156">
        <f>Commercial_2!W34*'BTU Conversion Factor'!$F$4</f>
        <v>14457741200000</v>
      </c>
      <c r="X34" s="156">
        <f>Commercial_2!X34*'BTU Conversion Factor'!$F$4</f>
        <v>14457741200000</v>
      </c>
      <c r="Y34" s="156">
        <f>Commercial_2!Y34*'BTU Conversion Factor'!$F$4</f>
        <v>14457741200000</v>
      </c>
      <c r="Z34" s="156">
        <f>Commercial_2!Z34*'BTU Conversion Factor'!$F$4</f>
        <v>14457741200000</v>
      </c>
      <c r="AA34" s="156">
        <f>Commercial_2!AA34*'BTU Conversion Factor'!$F$4</f>
        <v>14457741200000</v>
      </c>
      <c r="AB34" s="156">
        <f>Commercial_2!AB34*'BTU Conversion Factor'!$F$4</f>
        <v>14457741200000</v>
      </c>
      <c r="AC34" s="156">
        <f>Commercial_2!AC34*'BTU Conversion Factor'!$F$4</f>
        <v>14457741200000</v>
      </c>
      <c r="AD34" s="156">
        <f>Commercial_2!AD34*'BTU Conversion Factor'!$F$4</f>
        <v>14457741200000</v>
      </c>
      <c r="AE34" s="156">
        <f>Commercial_2!AE34*'BTU Conversion Factor'!$F$4</f>
        <v>14457741200000</v>
      </c>
      <c r="AF34" s="156">
        <f>Commercial_2!AF34*'BTU Conversion Factor'!$F$4</f>
        <v>14457741200000</v>
      </c>
      <c r="AG34" s="156">
        <f>Commercial_2!AG34*'BTU Conversion Factor'!$F$4</f>
        <v>14457741200000</v>
      </c>
      <c r="AH34" s="156">
        <f>Commercial_2!AH34*'BTU Conversion Factor'!$F$4</f>
        <v>14457741200000</v>
      </c>
      <c r="AI34" s="156">
        <f>Commercial_2!AI34*'BTU Conversion Factor'!$F$4</f>
        <v>14457741200000</v>
      </c>
      <c r="AJ34" s="156">
        <f>Commercial_2!AJ34*'BTU Conversion Factor'!$F$4</f>
        <v>14457741200000</v>
      </c>
      <c r="AK34" s="156">
        <f>Commercial_2!AK34*'BTU Conversion Factor'!$F$4</f>
        <v>14457741200000</v>
      </c>
      <c r="AL34" s="156">
        <f>Commercial_2!AL34*'BTU Conversion Factor'!$F$4</f>
        <v>14457741200000</v>
      </c>
      <c r="AM34" s="156">
        <f>Commercial_2!AM34*'BTU Conversion Factor'!$F$4</f>
        <v>14457741200000</v>
      </c>
      <c r="AN34" s="156">
        <f>Commercial_2!AN34*'BTU Conversion Factor'!$F$4</f>
        <v>14457741200000</v>
      </c>
      <c r="AO34" s="156">
        <f>Commercial_2!AO34*'BTU Conversion Factor'!$F$4</f>
        <v>14457741200000</v>
      </c>
      <c r="AP34" s="156">
        <f>Commercial_2!AP34*'BTU Conversion Factor'!$F$4</f>
        <v>14457741200000</v>
      </c>
      <c r="AQ34" s="156">
        <f>Commercial_2!AQ34*'BTU Conversion Factor'!$F$4</f>
        <v>14457741200000</v>
      </c>
      <c r="AR34" s="156">
        <f>Commercial_2!AR34*'BTU Conversion Factor'!$F$4</f>
        <v>14457741200000</v>
      </c>
      <c r="AS34" s="156">
        <f>Commercial_2!AS34*'BTU Conversion Factor'!$F$4</f>
        <v>14457741200000</v>
      </c>
      <c r="AT34" s="156">
        <f>Commercial_2!AT34*'BTU Conversion Factor'!$F$4</f>
        <v>14457741200000</v>
      </c>
      <c r="AU34" s="156">
        <f>Commercial_2!AU34*'BTU Conversion Factor'!$F$4</f>
        <v>14457741200000</v>
      </c>
    </row>
    <row r="35" spans="1:47">
      <c r="B35" s="54" t="s">
        <v>961</v>
      </c>
      <c r="C35" s="156">
        <f>Commercial_2!C35*'BTU Conversion Factor'!$F$4</f>
        <v>2338563150507.4595</v>
      </c>
      <c r="D35" s="156">
        <f>Commercial_2!D35*'BTU Conversion Factor'!$F$4</f>
        <v>2082758358756.2036</v>
      </c>
      <c r="E35" s="156">
        <f>Commercial_2!E35*'BTU Conversion Factor'!$F$4</f>
        <v>1826953567004.9629</v>
      </c>
      <c r="F35" s="156">
        <f>Commercial_2!F35*'BTU Conversion Factor'!$F$4</f>
        <v>1571148775253.7222</v>
      </c>
      <c r="G35" s="156">
        <f>Commercial_2!G35*'BTU Conversion Factor'!$F$4</f>
        <v>1315343983502.4814</v>
      </c>
      <c r="H35" s="156">
        <f>Commercial_2!H35*'BTU Conversion Factor'!$F$4</f>
        <v>1059539191751.2407</v>
      </c>
      <c r="I35" s="156">
        <f>Commercial_2!I35*'BTU Conversion Factor'!$F$4</f>
        <v>803734400000</v>
      </c>
      <c r="J35" s="156">
        <f>Commercial_2!J35*'BTU Conversion Factor'!$F$4</f>
        <v>699950300000</v>
      </c>
      <c r="K35" s="156">
        <f>Commercial_2!K35*'BTU Conversion Factor'!$F$4</f>
        <v>678150900000</v>
      </c>
      <c r="L35" s="156">
        <f>Commercial_2!L35*'BTU Conversion Factor'!$F$4</f>
        <v>585266500000</v>
      </c>
      <c r="M35" s="156">
        <f>Commercial_2!M35*'BTU Conversion Factor'!$F$4</f>
        <v>482904100000</v>
      </c>
      <c r="N35" s="156">
        <f>Commercial_2!N35*'BTU Conversion Factor'!$F$4</f>
        <v>393337000000</v>
      </c>
      <c r="O35" s="156">
        <f>Commercial_2!O35*'BTU Conversion Factor'!$F$4</f>
        <v>319882500000</v>
      </c>
      <c r="P35" s="156">
        <f>Commercial_2!P35*'BTU Conversion Factor'!$F$4</f>
        <v>272018600000</v>
      </c>
      <c r="Q35" s="156">
        <f>Commercial_2!Q35*'BTU Conversion Factor'!$F$4</f>
        <v>236002200000</v>
      </c>
      <c r="R35" s="156">
        <f>Commercial_2!R35*'BTU Conversion Factor'!$F$4</f>
        <v>232211000000</v>
      </c>
      <c r="S35" s="156">
        <f>Commercial_2!S35*'BTU Conversion Factor'!$F$4</f>
        <v>0</v>
      </c>
      <c r="T35" s="156">
        <f>Commercial_2!T35*'BTU Conversion Factor'!$F$4</f>
        <v>592490070788.22559</v>
      </c>
      <c r="U35" s="156">
        <f>Commercial_2!U35*'BTU Conversion Factor'!$F$4</f>
        <v>596963062548.92029</v>
      </c>
      <c r="V35" s="156">
        <f>Commercial_2!V35*'BTU Conversion Factor'!$F$4</f>
        <v>601436054309.61499</v>
      </c>
      <c r="W35" s="156">
        <f>Commercial_2!W35*'BTU Conversion Factor'!$F$4</f>
        <v>605909046070.30969</v>
      </c>
      <c r="X35" s="156">
        <f>Commercial_2!X35*'BTU Conversion Factor'!$F$4</f>
        <v>610382037831.00427</v>
      </c>
      <c r="Y35" s="156">
        <f>Commercial_2!Y35*'BTU Conversion Factor'!$F$4</f>
        <v>614855029591.6991</v>
      </c>
      <c r="Z35" s="156">
        <f>Commercial_2!Z35*'BTU Conversion Factor'!$F$4</f>
        <v>619328021352.39368</v>
      </c>
      <c r="AA35" s="156">
        <f>Commercial_2!AA35*'BTU Conversion Factor'!$F$4</f>
        <v>623801013113.08838</v>
      </c>
      <c r="AB35" s="156">
        <f>Commercial_2!AB35*'BTU Conversion Factor'!$F$4</f>
        <v>628274004873.78296</v>
      </c>
      <c r="AC35" s="156">
        <f>Commercial_2!AC35*'BTU Conversion Factor'!$F$4</f>
        <v>632746996634.47778</v>
      </c>
      <c r="AD35" s="156">
        <f>Commercial_2!AD35*'BTU Conversion Factor'!$F$4</f>
        <v>637219988395.17249</v>
      </c>
      <c r="AE35" s="156">
        <f>Commercial_2!AE35*'BTU Conversion Factor'!$F$4</f>
        <v>641692980155.86707</v>
      </c>
      <c r="AF35" s="156">
        <f>Commercial_2!AF35*'BTU Conversion Factor'!$F$4</f>
        <v>646165971916.56177</v>
      </c>
      <c r="AG35" s="156">
        <f>Commercial_2!AG35*'BTU Conversion Factor'!$F$4</f>
        <v>650638963677.255</v>
      </c>
      <c r="AH35" s="156">
        <f>Commercial_2!AH35*'BTU Conversion Factor'!$F$4</f>
        <v>655111955437.94995</v>
      </c>
      <c r="AI35" s="156">
        <f>Commercial_2!AI35*'BTU Conversion Factor'!$F$4</f>
        <v>659584947198.64441</v>
      </c>
      <c r="AJ35" s="156">
        <f>Commercial_2!AJ35*'BTU Conversion Factor'!$F$4</f>
        <v>664057938959.33911</v>
      </c>
      <c r="AK35" s="156">
        <f>Commercial_2!AK35*'BTU Conversion Factor'!$F$4</f>
        <v>668530930720.03369</v>
      </c>
      <c r="AL35" s="156">
        <f>Commercial_2!AL35*'BTU Conversion Factor'!$F$4</f>
        <v>673003922480.72852</v>
      </c>
      <c r="AM35" s="156">
        <f>Commercial_2!AM35*'BTU Conversion Factor'!$F$4</f>
        <v>677476914241.42322</v>
      </c>
      <c r="AN35" s="156">
        <f>Commercial_2!AN35*'BTU Conversion Factor'!$F$4</f>
        <v>681949906002.1178</v>
      </c>
      <c r="AO35" s="156">
        <f>Commercial_2!AO35*'BTU Conversion Factor'!$F$4</f>
        <v>686422897762.81238</v>
      </c>
      <c r="AP35" s="156">
        <f>Commercial_2!AP35*'BTU Conversion Factor'!$F$4</f>
        <v>690895889523.5072</v>
      </c>
      <c r="AQ35" s="156">
        <f>Commercial_2!AQ35*'BTU Conversion Factor'!$F$4</f>
        <v>695368881284.2019</v>
      </c>
      <c r="AR35" s="156">
        <f>Commercial_2!AR35*'BTU Conversion Factor'!$F$4</f>
        <v>699841873044.89636</v>
      </c>
      <c r="AS35" s="156">
        <f>Commercial_2!AS35*'BTU Conversion Factor'!$F$4</f>
        <v>704314864805.59119</v>
      </c>
      <c r="AT35" s="156">
        <f>Commercial_2!AT35*'BTU Conversion Factor'!$F$4</f>
        <v>708787856566.28601</v>
      </c>
      <c r="AU35" s="156">
        <f>Commercial_2!AU35*'BTU Conversion Factor'!$F$4</f>
        <v>713260848326.98071</v>
      </c>
    </row>
    <row r="36" spans="1:47">
      <c r="B36" s="54" t="s">
        <v>962</v>
      </c>
      <c r="C36" s="156">
        <f>Commercial_2!C36*'BTU Conversion Factor'!$F$4</f>
        <v>0</v>
      </c>
      <c r="D36" s="156">
        <f>Commercial_2!D36*'BTU Conversion Factor'!$F$4</f>
        <v>0</v>
      </c>
      <c r="E36" s="156">
        <f>Commercial_2!E36*'BTU Conversion Factor'!$F$4</f>
        <v>0</v>
      </c>
      <c r="F36" s="156">
        <f>Commercial_2!F36*'BTU Conversion Factor'!$F$4</f>
        <v>0</v>
      </c>
      <c r="G36" s="156">
        <f>Commercial_2!G36*'BTU Conversion Factor'!$F$4</f>
        <v>0</v>
      </c>
      <c r="H36" s="156">
        <f>Commercial_2!H36*'BTU Conversion Factor'!$F$4</f>
        <v>0</v>
      </c>
      <c r="I36" s="156">
        <f>Commercial_2!I36*'BTU Conversion Factor'!$F$4</f>
        <v>0</v>
      </c>
      <c r="J36" s="156">
        <f>Commercial_2!J36*'BTU Conversion Factor'!$F$4</f>
        <v>0</v>
      </c>
      <c r="K36" s="156">
        <f>Commercial_2!K36*'BTU Conversion Factor'!$F$4</f>
        <v>0</v>
      </c>
      <c r="L36" s="156">
        <f>Commercial_2!L36*'BTU Conversion Factor'!$F$4</f>
        <v>0</v>
      </c>
      <c r="M36" s="156">
        <f>Commercial_2!M36*'BTU Conversion Factor'!$F$4</f>
        <v>0</v>
      </c>
      <c r="N36" s="156">
        <f>Commercial_2!N36*'BTU Conversion Factor'!$F$4</f>
        <v>0</v>
      </c>
      <c r="O36" s="156">
        <f>Commercial_2!O36*'BTU Conversion Factor'!$F$4</f>
        <v>0</v>
      </c>
      <c r="P36" s="156">
        <f>Commercial_2!P36*'BTU Conversion Factor'!$F$4</f>
        <v>0</v>
      </c>
      <c r="Q36" s="156">
        <f>Commercial_2!Q36*'BTU Conversion Factor'!$F$4</f>
        <v>0</v>
      </c>
      <c r="R36" s="156">
        <f>Commercial_2!R36*'BTU Conversion Factor'!$F$4</f>
        <v>0</v>
      </c>
      <c r="S36" s="156">
        <f>Commercial_2!S36*'BTU Conversion Factor'!$F$4</f>
        <v>0</v>
      </c>
      <c r="T36" s="156">
        <f>Commercial_2!T36*'BTU Conversion Factor'!$F$4</f>
        <v>0</v>
      </c>
      <c r="U36" s="156">
        <f>Commercial_2!U36*'BTU Conversion Factor'!$F$4</f>
        <v>0</v>
      </c>
      <c r="V36" s="156">
        <f>Commercial_2!V36*'BTU Conversion Factor'!$F$4</f>
        <v>0</v>
      </c>
      <c r="W36" s="156">
        <f>Commercial_2!W36*'BTU Conversion Factor'!$F$4</f>
        <v>0</v>
      </c>
      <c r="X36" s="156">
        <f>Commercial_2!X36*'BTU Conversion Factor'!$F$4</f>
        <v>0</v>
      </c>
      <c r="Y36" s="156">
        <f>Commercial_2!Y36*'BTU Conversion Factor'!$F$4</f>
        <v>0</v>
      </c>
      <c r="Z36" s="156">
        <f>Commercial_2!Z36*'BTU Conversion Factor'!$F$4</f>
        <v>0</v>
      </c>
      <c r="AA36" s="156">
        <f>Commercial_2!AA36*'BTU Conversion Factor'!$F$4</f>
        <v>0</v>
      </c>
      <c r="AB36" s="156">
        <f>Commercial_2!AB36*'BTU Conversion Factor'!$F$4</f>
        <v>0</v>
      </c>
      <c r="AC36" s="156">
        <f>Commercial_2!AC36*'BTU Conversion Factor'!$F$4</f>
        <v>0</v>
      </c>
      <c r="AD36" s="156">
        <f>Commercial_2!AD36*'BTU Conversion Factor'!$F$4</f>
        <v>0</v>
      </c>
      <c r="AE36" s="156">
        <f>Commercial_2!AE36*'BTU Conversion Factor'!$F$4</f>
        <v>0</v>
      </c>
      <c r="AF36" s="156">
        <f>Commercial_2!AF36*'BTU Conversion Factor'!$F$4</f>
        <v>0</v>
      </c>
      <c r="AG36" s="156">
        <f>Commercial_2!AG36*'BTU Conversion Factor'!$F$4</f>
        <v>0</v>
      </c>
      <c r="AH36" s="156">
        <f>Commercial_2!AH36*'BTU Conversion Factor'!$F$4</f>
        <v>0</v>
      </c>
      <c r="AI36" s="156">
        <f>Commercial_2!AI36*'BTU Conversion Factor'!$F$4</f>
        <v>0</v>
      </c>
      <c r="AJ36" s="156">
        <f>Commercial_2!AJ36*'BTU Conversion Factor'!$F$4</f>
        <v>0</v>
      </c>
      <c r="AK36" s="156">
        <f>Commercial_2!AK36*'BTU Conversion Factor'!$F$4</f>
        <v>0</v>
      </c>
      <c r="AL36" s="156">
        <f>Commercial_2!AL36*'BTU Conversion Factor'!$F$4</f>
        <v>0</v>
      </c>
      <c r="AM36" s="156">
        <f>Commercial_2!AM36*'BTU Conversion Factor'!$F$4</f>
        <v>0</v>
      </c>
      <c r="AN36" s="156">
        <f>Commercial_2!AN36*'BTU Conversion Factor'!$F$4</f>
        <v>0</v>
      </c>
      <c r="AO36" s="156">
        <f>Commercial_2!AO36*'BTU Conversion Factor'!$F$4</f>
        <v>0</v>
      </c>
      <c r="AP36" s="156">
        <f>Commercial_2!AP36*'BTU Conversion Factor'!$F$4</f>
        <v>0</v>
      </c>
      <c r="AQ36" s="156">
        <f>Commercial_2!AQ36*'BTU Conversion Factor'!$F$4</f>
        <v>0</v>
      </c>
      <c r="AR36" s="156">
        <f>Commercial_2!AR36*'BTU Conversion Factor'!$F$4</f>
        <v>0</v>
      </c>
      <c r="AS36" s="156">
        <f>Commercial_2!AS36*'BTU Conversion Factor'!$F$4</f>
        <v>0</v>
      </c>
      <c r="AT36" s="156">
        <f>Commercial_2!AT36*'BTU Conversion Factor'!$F$4</f>
        <v>0</v>
      </c>
      <c r="AU36" s="156">
        <f>Commercial_2!AU36*'BTU Conversion Factor'!$F$4</f>
        <v>0</v>
      </c>
    </row>
    <row r="37" spans="1:47">
      <c r="B37" s="54" t="s">
        <v>963</v>
      </c>
      <c r="C37" s="156">
        <f>Commercial_2!C37*'BTU Conversion Factor'!$F$4</f>
        <v>0</v>
      </c>
      <c r="D37" s="156">
        <f>Commercial_2!D37*'BTU Conversion Factor'!$F$4</f>
        <v>0</v>
      </c>
      <c r="E37" s="156">
        <f>Commercial_2!E37*'BTU Conversion Factor'!$F$4</f>
        <v>0</v>
      </c>
      <c r="F37" s="156">
        <f>Commercial_2!F37*'BTU Conversion Factor'!$F$4</f>
        <v>0</v>
      </c>
      <c r="G37" s="156">
        <f>Commercial_2!G37*'BTU Conversion Factor'!$F$4</f>
        <v>0</v>
      </c>
      <c r="H37" s="156">
        <f>Commercial_2!H37*'BTU Conversion Factor'!$F$4</f>
        <v>0</v>
      </c>
      <c r="I37" s="156">
        <f>Commercial_2!I37*'BTU Conversion Factor'!$F$4</f>
        <v>0</v>
      </c>
      <c r="J37" s="156">
        <f>Commercial_2!J37*'BTU Conversion Factor'!$F$4</f>
        <v>0</v>
      </c>
      <c r="K37" s="156">
        <f>Commercial_2!K37*'BTU Conversion Factor'!$F$4</f>
        <v>0</v>
      </c>
      <c r="L37" s="156">
        <f>Commercial_2!L37*'BTU Conversion Factor'!$F$4</f>
        <v>0</v>
      </c>
      <c r="M37" s="156">
        <f>Commercial_2!M37*'BTU Conversion Factor'!$F$4</f>
        <v>0</v>
      </c>
      <c r="N37" s="156">
        <f>Commercial_2!N37*'BTU Conversion Factor'!$F$4</f>
        <v>0</v>
      </c>
      <c r="O37" s="156">
        <f>Commercial_2!O37*'BTU Conversion Factor'!$F$4</f>
        <v>0</v>
      </c>
      <c r="P37" s="156">
        <f>Commercial_2!P37*'BTU Conversion Factor'!$F$4</f>
        <v>0</v>
      </c>
      <c r="Q37" s="156">
        <f>Commercial_2!Q37*'BTU Conversion Factor'!$F$4</f>
        <v>0</v>
      </c>
      <c r="R37" s="156">
        <f>Commercial_2!R37*'BTU Conversion Factor'!$F$4</f>
        <v>0</v>
      </c>
      <c r="S37" s="156">
        <f>Commercial_2!S37*'BTU Conversion Factor'!$F$4</f>
        <v>0</v>
      </c>
      <c r="T37" s="156">
        <f>Commercial_2!T37*'BTU Conversion Factor'!$F$4</f>
        <v>0</v>
      </c>
      <c r="U37" s="156">
        <f>Commercial_2!U37*'BTU Conversion Factor'!$F$4</f>
        <v>0</v>
      </c>
      <c r="V37" s="156">
        <f>Commercial_2!V37*'BTU Conversion Factor'!$F$4</f>
        <v>0</v>
      </c>
      <c r="W37" s="156">
        <f>Commercial_2!W37*'BTU Conversion Factor'!$F$4</f>
        <v>0</v>
      </c>
      <c r="X37" s="156">
        <f>Commercial_2!X37*'BTU Conversion Factor'!$F$4</f>
        <v>0</v>
      </c>
      <c r="Y37" s="156">
        <f>Commercial_2!Y37*'BTU Conversion Factor'!$F$4</f>
        <v>0</v>
      </c>
      <c r="Z37" s="156">
        <f>Commercial_2!Z37*'BTU Conversion Factor'!$F$4</f>
        <v>0</v>
      </c>
      <c r="AA37" s="156">
        <f>Commercial_2!AA37*'BTU Conversion Factor'!$F$4</f>
        <v>0</v>
      </c>
      <c r="AB37" s="156">
        <f>Commercial_2!AB37*'BTU Conversion Factor'!$F$4</f>
        <v>0</v>
      </c>
      <c r="AC37" s="156">
        <f>Commercial_2!AC37*'BTU Conversion Factor'!$F$4</f>
        <v>0</v>
      </c>
      <c r="AD37" s="156">
        <f>Commercial_2!AD37*'BTU Conversion Factor'!$F$4</f>
        <v>0</v>
      </c>
      <c r="AE37" s="156">
        <f>Commercial_2!AE37*'BTU Conversion Factor'!$F$4</f>
        <v>0</v>
      </c>
      <c r="AF37" s="156">
        <f>Commercial_2!AF37*'BTU Conversion Factor'!$F$4</f>
        <v>0</v>
      </c>
      <c r="AG37" s="156">
        <f>Commercial_2!AG37*'BTU Conversion Factor'!$F$4</f>
        <v>0</v>
      </c>
      <c r="AH37" s="156">
        <f>Commercial_2!AH37*'BTU Conversion Factor'!$F$4</f>
        <v>0</v>
      </c>
      <c r="AI37" s="156">
        <f>Commercial_2!AI37*'BTU Conversion Factor'!$F$4</f>
        <v>0</v>
      </c>
      <c r="AJ37" s="156">
        <f>Commercial_2!AJ37*'BTU Conversion Factor'!$F$4</f>
        <v>0</v>
      </c>
      <c r="AK37" s="156">
        <f>Commercial_2!AK37*'BTU Conversion Factor'!$F$4</f>
        <v>0</v>
      </c>
      <c r="AL37" s="156">
        <f>Commercial_2!AL37*'BTU Conversion Factor'!$F$4</f>
        <v>0</v>
      </c>
      <c r="AM37" s="156">
        <f>Commercial_2!AM37*'BTU Conversion Factor'!$F$4</f>
        <v>0</v>
      </c>
      <c r="AN37" s="156">
        <f>Commercial_2!AN37*'BTU Conversion Factor'!$F$4</f>
        <v>0</v>
      </c>
      <c r="AO37" s="156">
        <f>Commercial_2!AO37*'BTU Conversion Factor'!$F$4</f>
        <v>0</v>
      </c>
      <c r="AP37" s="156">
        <f>Commercial_2!AP37*'BTU Conversion Factor'!$F$4</f>
        <v>0</v>
      </c>
      <c r="AQ37" s="156">
        <f>Commercial_2!AQ37*'BTU Conversion Factor'!$F$4</f>
        <v>0</v>
      </c>
      <c r="AR37" s="156">
        <f>Commercial_2!AR37*'BTU Conversion Factor'!$F$4</f>
        <v>0</v>
      </c>
      <c r="AS37" s="156">
        <f>Commercial_2!AS37*'BTU Conversion Factor'!$F$4</f>
        <v>0</v>
      </c>
      <c r="AT37" s="156">
        <f>Commercial_2!AT37*'BTU Conversion Factor'!$F$4</f>
        <v>0</v>
      </c>
      <c r="AU37" s="156">
        <f>Commercial_2!AU37*'BTU Conversion Factor'!$F$4</f>
        <v>0</v>
      </c>
    </row>
    <row r="39" spans="1:47" s="58" customFormat="1">
      <c r="A39" s="108" t="s">
        <v>516</v>
      </c>
    </row>
    <row r="40" spans="1:47" s="54" customFormat="1">
      <c r="B40" s="54" t="s">
        <v>481</v>
      </c>
      <c r="C40" s="54">
        <v>2006</v>
      </c>
      <c r="D40" s="54">
        <v>2007</v>
      </c>
      <c r="E40" s="54">
        <v>2008</v>
      </c>
      <c r="F40" s="54">
        <v>2009</v>
      </c>
      <c r="G40" s="54">
        <v>2010</v>
      </c>
      <c r="H40" s="54">
        <v>2011</v>
      </c>
      <c r="I40" s="54">
        <v>2012</v>
      </c>
      <c r="J40" s="54">
        <v>2013</v>
      </c>
      <c r="K40" s="54">
        <v>2014</v>
      </c>
      <c r="L40" s="54">
        <v>2015</v>
      </c>
      <c r="M40" s="54">
        <v>2016</v>
      </c>
      <c r="N40" s="54">
        <v>2017</v>
      </c>
      <c r="O40" s="54">
        <v>2018</v>
      </c>
      <c r="P40" s="54">
        <v>2019</v>
      </c>
      <c r="Q40" s="54">
        <v>2020</v>
      </c>
      <c r="R40" s="54">
        <v>2021</v>
      </c>
      <c r="S40" s="54">
        <v>2022</v>
      </c>
      <c r="T40" s="54">
        <v>2023</v>
      </c>
      <c r="U40" s="54">
        <v>2024</v>
      </c>
      <c r="V40" s="54">
        <v>2025</v>
      </c>
      <c r="W40" s="54">
        <v>2026</v>
      </c>
      <c r="X40" s="54">
        <v>2027</v>
      </c>
      <c r="Y40" s="54">
        <v>2028</v>
      </c>
      <c r="Z40" s="54">
        <v>2029</v>
      </c>
      <c r="AA40" s="54">
        <v>2030</v>
      </c>
      <c r="AB40" s="54">
        <v>2031</v>
      </c>
      <c r="AC40" s="54">
        <v>2032</v>
      </c>
      <c r="AD40" s="54">
        <v>2033</v>
      </c>
      <c r="AE40" s="54">
        <v>2034</v>
      </c>
      <c r="AF40" s="54">
        <v>2035</v>
      </c>
      <c r="AG40" s="54">
        <v>2036</v>
      </c>
      <c r="AH40" s="54">
        <v>2037</v>
      </c>
      <c r="AI40" s="54">
        <v>2038</v>
      </c>
      <c r="AJ40" s="54">
        <v>2039</v>
      </c>
      <c r="AK40" s="54">
        <v>2040</v>
      </c>
      <c r="AL40" s="54">
        <v>2041</v>
      </c>
      <c r="AM40" s="54">
        <v>2042</v>
      </c>
      <c r="AN40" s="54">
        <v>2043</v>
      </c>
      <c r="AO40" s="54">
        <v>2044</v>
      </c>
      <c r="AP40" s="54">
        <v>2045</v>
      </c>
      <c r="AQ40" s="54">
        <v>2046</v>
      </c>
      <c r="AR40" s="54">
        <v>2047</v>
      </c>
      <c r="AS40" s="54">
        <v>2048</v>
      </c>
      <c r="AT40" s="54">
        <v>2049</v>
      </c>
      <c r="AU40" s="54">
        <v>2050</v>
      </c>
    </row>
    <row r="41" spans="1:47">
      <c r="B41" s="54" t="s">
        <v>958</v>
      </c>
      <c r="C41" s="156">
        <f>Commercial_2!C41*'BTU Conversion Factor'!$F$4</f>
        <v>29187131358000</v>
      </c>
      <c r="D41" s="156">
        <f>Commercial_2!D41*'BTU Conversion Factor'!$F$4</f>
        <v>29658169002000.078</v>
      </c>
      <c r="E41" s="156">
        <f>Commercial_2!E41*'BTU Conversion Factor'!$F$4</f>
        <v>30129206646000.063</v>
      </c>
      <c r="F41" s="156">
        <f>Commercial_2!F41*'BTU Conversion Factor'!$F$4</f>
        <v>30600244290000.043</v>
      </c>
      <c r="G41" s="156">
        <f>Commercial_2!G41*'BTU Conversion Factor'!$F$4</f>
        <v>31071281934000.027</v>
      </c>
      <c r="H41" s="156">
        <f>Commercial_2!H41*'BTU Conversion Factor'!$F$4</f>
        <v>31542319578000.008</v>
      </c>
      <c r="I41" s="156">
        <f>Commercial_2!I41*'BTU Conversion Factor'!$F$4</f>
        <v>32013357222000</v>
      </c>
      <c r="J41" s="156">
        <f>Commercial_2!J41*'BTU Conversion Factor'!$F$4</f>
        <v>31003220416000</v>
      </c>
      <c r="K41" s="156">
        <f>Commercial_2!K41*'BTU Conversion Factor'!$F$4</f>
        <v>31382340416000</v>
      </c>
      <c r="L41" s="156">
        <f>Commercial_2!L41*'BTU Conversion Factor'!$F$4</f>
        <v>34714549309999.996</v>
      </c>
      <c r="M41" s="156">
        <f>Commercial_2!M41*'BTU Conversion Factor'!$F$4</f>
        <v>34778241469999.996</v>
      </c>
      <c r="N41" s="156">
        <f>Commercial_2!N41*'BTU Conversion Factor'!$F$4</f>
        <v>33729794588000</v>
      </c>
      <c r="O41" s="156">
        <f>Commercial_2!O41*'BTU Conversion Factor'!$F$4</f>
        <v>34252487332000.004</v>
      </c>
      <c r="P41" s="156">
        <f>Commercial_2!P41*'BTU Conversion Factor'!$F$4</f>
        <v>44010941352000</v>
      </c>
      <c r="Q41" s="156">
        <f>Commercial_2!Q41*'BTU Conversion Factor'!$F$4</f>
        <v>40670230692000</v>
      </c>
      <c r="R41" s="156">
        <f>Commercial_2!R41*'BTU Conversion Factor'!$F$4</f>
        <v>42689670239999.992</v>
      </c>
      <c r="S41" s="156">
        <f>Commercial_2!S41*'BTU Conversion Factor'!$F$4</f>
        <v>43828441002396.047</v>
      </c>
      <c r="T41" s="156">
        <f>Commercial_2!T41*'BTU Conversion Factor'!$F$4</f>
        <v>44273443500514.234</v>
      </c>
      <c r="U41" s="156">
        <f>Commercial_2!U41*'BTU Conversion Factor'!$F$4</f>
        <v>44720131096619.328</v>
      </c>
      <c r="V41" s="156">
        <f>Commercial_2!V41*'BTU Conversion Factor'!$F$4</f>
        <v>44963359420186.813</v>
      </c>
      <c r="W41" s="156">
        <f>Commercial_2!W41*'BTU Conversion Factor'!$F$4</f>
        <v>45297760284216.352</v>
      </c>
      <c r="X41" s="156">
        <f>Commercial_2!X41*'BTU Conversion Factor'!$F$4</f>
        <v>45632161148245.875</v>
      </c>
      <c r="Y41" s="156">
        <f>Commercial_2!Y41*'BTU Conversion Factor'!$F$4</f>
        <v>45966562012275.414</v>
      </c>
      <c r="Z41" s="156">
        <f>Commercial_2!Z41*'BTU Conversion Factor'!$F$4</f>
        <v>46300962876304.953</v>
      </c>
      <c r="AA41" s="156">
        <f>Commercial_2!AA41*'BTU Conversion Factor'!$F$4</f>
        <v>46635363740334.484</v>
      </c>
      <c r="AB41" s="156">
        <f>Commercial_2!AB41*'BTU Conversion Factor'!$F$4</f>
        <v>46969764604364.016</v>
      </c>
      <c r="AC41" s="156">
        <f>Commercial_2!AC41*'BTU Conversion Factor'!$F$4</f>
        <v>47304165468393.563</v>
      </c>
      <c r="AD41" s="156">
        <f>Commercial_2!AD41*'BTU Conversion Factor'!$F$4</f>
        <v>47638566332423.094</v>
      </c>
      <c r="AE41" s="156">
        <f>Commercial_2!AE41*'BTU Conversion Factor'!$F$4</f>
        <v>47972967196452.617</v>
      </c>
      <c r="AF41" s="156">
        <f>Commercial_2!AF41*'BTU Conversion Factor'!$F$4</f>
        <v>48307368060482.148</v>
      </c>
      <c r="AG41" s="156">
        <f>Commercial_2!AG41*'BTU Conversion Factor'!$F$4</f>
        <v>48641768924511.586</v>
      </c>
      <c r="AH41" s="156">
        <f>Commercial_2!AH41*'BTU Conversion Factor'!$F$4</f>
        <v>48976169788541.133</v>
      </c>
      <c r="AI41" s="156">
        <f>Commercial_2!AI41*'BTU Conversion Factor'!$F$4</f>
        <v>49310570652570.648</v>
      </c>
      <c r="AJ41" s="156">
        <f>Commercial_2!AJ41*'BTU Conversion Factor'!$F$4</f>
        <v>49644971516600.188</v>
      </c>
      <c r="AK41" s="156">
        <f>Commercial_2!AK41*'BTU Conversion Factor'!$F$4</f>
        <v>49979372380629.719</v>
      </c>
      <c r="AL41" s="156">
        <f>Commercial_2!AL41*'BTU Conversion Factor'!$F$4</f>
        <v>50313773244659.25</v>
      </c>
      <c r="AM41" s="156">
        <f>Commercial_2!AM41*'BTU Conversion Factor'!$F$4</f>
        <v>50648174108688.797</v>
      </c>
      <c r="AN41" s="156">
        <f>Commercial_2!AN41*'BTU Conversion Factor'!$F$4</f>
        <v>50982574972718.328</v>
      </c>
      <c r="AO41" s="156">
        <f>Commercial_2!AO41*'BTU Conversion Factor'!$F$4</f>
        <v>51316975836747.852</v>
      </c>
      <c r="AP41" s="156">
        <f>Commercial_2!AP41*'BTU Conversion Factor'!$F$4</f>
        <v>51651376700777.398</v>
      </c>
      <c r="AQ41" s="156">
        <f>Commercial_2!AQ41*'BTU Conversion Factor'!$F$4</f>
        <v>51985777564806.93</v>
      </c>
      <c r="AR41" s="156">
        <f>Commercial_2!AR41*'BTU Conversion Factor'!$F$4</f>
        <v>52320178428836.453</v>
      </c>
      <c r="AS41" s="156">
        <f>Commercial_2!AS41*'BTU Conversion Factor'!$F$4</f>
        <v>52654579292866</v>
      </c>
      <c r="AT41" s="156">
        <f>Commercial_2!AT41*'BTU Conversion Factor'!$F$4</f>
        <v>52988980156895.539</v>
      </c>
      <c r="AU41" s="156">
        <f>Commercial_2!AU41*'BTU Conversion Factor'!$F$4</f>
        <v>53323381020925.063</v>
      </c>
    </row>
    <row r="42" spans="1:47">
      <c r="B42" s="54" t="s">
        <v>959</v>
      </c>
      <c r="C42" s="156">
        <f>Commercial_2!C42*'BTU Conversion Factor'!$F$4</f>
        <v>0</v>
      </c>
      <c r="D42" s="156">
        <f>Commercial_2!D42*'BTU Conversion Factor'!$F$4</f>
        <v>0</v>
      </c>
      <c r="E42" s="156">
        <f>Commercial_2!E42*'BTU Conversion Factor'!$F$4</f>
        <v>0</v>
      </c>
      <c r="F42" s="156">
        <f>Commercial_2!F42*'BTU Conversion Factor'!$F$4</f>
        <v>0</v>
      </c>
      <c r="G42" s="156">
        <f>Commercial_2!G42*'BTU Conversion Factor'!$F$4</f>
        <v>0</v>
      </c>
      <c r="H42" s="156">
        <f>Commercial_2!H42*'BTU Conversion Factor'!$F$4</f>
        <v>0</v>
      </c>
      <c r="I42" s="156">
        <f>Commercial_2!I42*'BTU Conversion Factor'!$F$4</f>
        <v>0</v>
      </c>
      <c r="J42" s="156">
        <f>Commercial_2!J42*'BTU Conversion Factor'!$F$4</f>
        <v>0</v>
      </c>
      <c r="K42" s="156">
        <f>Commercial_2!K42*'BTU Conversion Factor'!$F$4</f>
        <v>0</v>
      </c>
      <c r="L42" s="156">
        <f>Commercial_2!L42*'BTU Conversion Factor'!$F$4</f>
        <v>0</v>
      </c>
      <c r="M42" s="156">
        <f>Commercial_2!M42*'BTU Conversion Factor'!$F$4</f>
        <v>0</v>
      </c>
      <c r="N42" s="156">
        <f>Commercial_2!N42*'BTU Conversion Factor'!$F$4</f>
        <v>0</v>
      </c>
      <c r="O42" s="156">
        <f>Commercial_2!O42*'BTU Conversion Factor'!$F$4</f>
        <v>0</v>
      </c>
      <c r="P42" s="156">
        <f>Commercial_2!P42*'BTU Conversion Factor'!$F$4</f>
        <v>0</v>
      </c>
      <c r="Q42" s="156">
        <f>Commercial_2!Q42*'BTU Conversion Factor'!$F$4</f>
        <v>0</v>
      </c>
      <c r="R42" s="156">
        <f>Commercial_2!R42*'BTU Conversion Factor'!$F$4</f>
        <v>0</v>
      </c>
      <c r="S42" s="156">
        <f>Commercial_2!S42*'BTU Conversion Factor'!$F$4</f>
        <v>0</v>
      </c>
      <c r="T42" s="156">
        <f>Commercial_2!T42*'BTU Conversion Factor'!$F$4</f>
        <v>0</v>
      </c>
      <c r="U42" s="156">
        <f>Commercial_2!U42*'BTU Conversion Factor'!$F$4</f>
        <v>0</v>
      </c>
      <c r="V42" s="156">
        <f>Commercial_2!V42*'BTU Conversion Factor'!$F$4</f>
        <v>0</v>
      </c>
      <c r="W42" s="156">
        <f>Commercial_2!W42*'BTU Conversion Factor'!$F$4</f>
        <v>0</v>
      </c>
      <c r="X42" s="156">
        <f>Commercial_2!X42*'BTU Conversion Factor'!$F$4</f>
        <v>0</v>
      </c>
      <c r="Y42" s="156">
        <f>Commercial_2!Y42*'BTU Conversion Factor'!$F$4</f>
        <v>0</v>
      </c>
      <c r="Z42" s="156">
        <f>Commercial_2!Z42*'BTU Conversion Factor'!$F$4</f>
        <v>0</v>
      </c>
      <c r="AA42" s="156">
        <f>Commercial_2!AA42*'BTU Conversion Factor'!$F$4</f>
        <v>0</v>
      </c>
      <c r="AB42" s="156">
        <f>Commercial_2!AB42*'BTU Conversion Factor'!$F$4</f>
        <v>0</v>
      </c>
      <c r="AC42" s="156">
        <f>Commercial_2!AC42*'BTU Conversion Factor'!$F$4</f>
        <v>0</v>
      </c>
      <c r="AD42" s="156">
        <f>Commercial_2!AD42*'BTU Conversion Factor'!$F$4</f>
        <v>0</v>
      </c>
      <c r="AE42" s="156">
        <f>Commercial_2!AE42*'BTU Conversion Factor'!$F$4</f>
        <v>0</v>
      </c>
      <c r="AF42" s="156">
        <f>Commercial_2!AF42*'BTU Conversion Factor'!$F$4</f>
        <v>0</v>
      </c>
      <c r="AG42" s="156">
        <f>Commercial_2!AG42*'BTU Conversion Factor'!$F$4</f>
        <v>0</v>
      </c>
      <c r="AH42" s="156">
        <f>Commercial_2!AH42*'BTU Conversion Factor'!$F$4</f>
        <v>0</v>
      </c>
      <c r="AI42" s="156">
        <f>Commercial_2!AI42*'BTU Conversion Factor'!$F$4</f>
        <v>0</v>
      </c>
      <c r="AJ42" s="156">
        <f>Commercial_2!AJ42*'BTU Conversion Factor'!$F$4</f>
        <v>0</v>
      </c>
      <c r="AK42" s="156">
        <f>Commercial_2!AK42*'BTU Conversion Factor'!$F$4</f>
        <v>0</v>
      </c>
      <c r="AL42" s="156">
        <f>Commercial_2!AL42*'BTU Conversion Factor'!$F$4</f>
        <v>0</v>
      </c>
      <c r="AM42" s="156">
        <f>Commercial_2!AM42*'BTU Conversion Factor'!$F$4</f>
        <v>0</v>
      </c>
      <c r="AN42" s="156">
        <f>Commercial_2!AN42*'BTU Conversion Factor'!$F$4</f>
        <v>0</v>
      </c>
      <c r="AO42" s="156">
        <f>Commercial_2!AO42*'BTU Conversion Factor'!$F$4</f>
        <v>0</v>
      </c>
      <c r="AP42" s="156">
        <f>Commercial_2!AP42*'BTU Conversion Factor'!$F$4</f>
        <v>0</v>
      </c>
      <c r="AQ42" s="156">
        <f>Commercial_2!AQ42*'BTU Conversion Factor'!$F$4</f>
        <v>0</v>
      </c>
      <c r="AR42" s="156">
        <f>Commercial_2!AR42*'BTU Conversion Factor'!$F$4</f>
        <v>0</v>
      </c>
      <c r="AS42" s="156">
        <f>Commercial_2!AS42*'BTU Conversion Factor'!$F$4</f>
        <v>0</v>
      </c>
      <c r="AT42" s="156">
        <f>Commercial_2!AT42*'BTU Conversion Factor'!$F$4</f>
        <v>0</v>
      </c>
      <c r="AU42" s="156">
        <f>Commercial_2!AU42*'BTU Conversion Factor'!$F$4</f>
        <v>0</v>
      </c>
    </row>
    <row r="43" spans="1:47">
      <c r="B43" s="54" t="s">
        <v>960</v>
      </c>
      <c r="C43" s="156">
        <f>Commercial_2!C43*'BTU Conversion Factor'!$F$4</f>
        <v>0</v>
      </c>
      <c r="D43" s="156">
        <f>Commercial_2!D43*'BTU Conversion Factor'!$F$4</f>
        <v>0</v>
      </c>
      <c r="E43" s="156">
        <f>Commercial_2!E43*'BTU Conversion Factor'!$F$4</f>
        <v>0</v>
      </c>
      <c r="F43" s="156">
        <f>Commercial_2!F43*'BTU Conversion Factor'!$F$4</f>
        <v>0</v>
      </c>
      <c r="G43" s="156">
        <f>Commercial_2!G43*'BTU Conversion Factor'!$F$4</f>
        <v>0</v>
      </c>
      <c r="H43" s="156">
        <f>Commercial_2!H43*'BTU Conversion Factor'!$F$4</f>
        <v>0</v>
      </c>
      <c r="I43" s="156">
        <f>Commercial_2!I43*'BTU Conversion Factor'!$F$4</f>
        <v>0</v>
      </c>
      <c r="J43" s="156">
        <f>Commercial_2!J43*'BTU Conversion Factor'!$F$4</f>
        <v>0</v>
      </c>
      <c r="K43" s="156">
        <f>Commercial_2!K43*'BTU Conversion Factor'!$F$4</f>
        <v>0</v>
      </c>
      <c r="L43" s="156">
        <f>Commercial_2!L43*'BTU Conversion Factor'!$F$4</f>
        <v>0</v>
      </c>
      <c r="M43" s="156">
        <f>Commercial_2!M43*'BTU Conversion Factor'!$F$4</f>
        <v>0</v>
      </c>
      <c r="N43" s="156">
        <f>Commercial_2!N43*'BTU Conversion Factor'!$F$4</f>
        <v>0</v>
      </c>
      <c r="O43" s="156">
        <f>Commercial_2!O43*'BTU Conversion Factor'!$F$4</f>
        <v>0</v>
      </c>
      <c r="P43" s="156">
        <f>Commercial_2!P43*'BTU Conversion Factor'!$F$4</f>
        <v>0</v>
      </c>
      <c r="Q43" s="156">
        <f>Commercial_2!Q43*'BTU Conversion Factor'!$F$4</f>
        <v>0</v>
      </c>
      <c r="R43" s="156">
        <f>Commercial_2!R43*'BTU Conversion Factor'!$F$4</f>
        <v>0</v>
      </c>
      <c r="S43" s="156">
        <f>Commercial_2!S43*'BTU Conversion Factor'!$F$4</f>
        <v>0</v>
      </c>
      <c r="T43" s="156">
        <f>Commercial_2!T43*'BTU Conversion Factor'!$F$4</f>
        <v>0</v>
      </c>
      <c r="U43" s="156">
        <f>Commercial_2!U43*'BTU Conversion Factor'!$F$4</f>
        <v>0</v>
      </c>
      <c r="V43" s="156">
        <f>Commercial_2!V43*'BTU Conversion Factor'!$F$4</f>
        <v>0</v>
      </c>
      <c r="W43" s="156">
        <f>Commercial_2!W43*'BTU Conversion Factor'!$F$4</f>
        <v>0</v>
      </c>
      <c r="X43" s="156">
        <f>Commercial_2!X43*'BTU Conversion Factor'!$F$4</f>
        <v>0</v>
      </c>
      <c r="Y43" s="156">
        <f>Commercial_2!Y43*'BTU Conversion Factor'!$F$4</f>
        <v>0</v>
      </c>
      <c r="Z43" s="156">
        <f>Commercial_2!Z43*'BTU Conversion Factor'!$F$4</f>
        <v>0</v>
      </c>
      <c r="AA43" s="156">
        <f>Commercial_2!AA43*'BTU Conversion Factor'!$F$4</f>
        <v>0</v>
      </c>
      <c r="AB43" s="156">
        <f>Commercial_2!AB43*'BTU Conversion Factor'!$F$4</f>
        <v>0</v>
      </c>
      <c r="AC43" s="156">
        <f>Commercial_2!AC43*'BTU Conversion Factor'!$F$4</f>
        <v>0</v>
      </c>
      <c r="AD43" s="156">
        <f>Commercial_2!AD43*'BTU Conversion Factor'!$F$4</f>
        <v>0</v>
      </c>
      <c r="AE43" s="156">
        <f>Commercial_2!AE43*'BTU Conversion Factor'!$F$4</f>
        <v>0</v>
      </c>
      <c r="AF43" s="156">
        <f>Commercial_2!AF43*'BTU Conversion Factor'!$F$4</f>
        <v>0</v>
      </c>
      <c r="AG43" s="156">
        <f>Commercial_2!AG43*'BTU Conversion Factor'!$F$4</f>
        <v>0</v>
      </c>
      <c r="AH43" s="156">
        <f>Commercial_2!AH43*'BTU Conversion Factor'!$F$4</f>
        <v>0</v>
      </c>
      <c r="AI43" s="156">
        <f>Commercial_2!AI43*'BTU Conversion Factor'!$F$4</f>
        <v>0</v>
      </c>
      <c r="AJ43" s="156">
        <f>Commercial_2!AJ43*'BTU Conversion Factor'!$F$4</f>
        <v>0</v>
      </c>
      <c r="AK43" s="156">
        <f>Commercial_2!AK43*'BTU Conversion Factor'!$F$4</f>
        <v>0</v>
      </c>
      <c r="AL43" s="156">
        <f>Commercial_2!AL43*'BTU Conversion Factor'!$F$4</f>
        <v>0</v>
      </c>
      <c r="AM43" s="156">
        <f>Commercial_2!AM43*'BTU Conversion Factor'!$F$4</f>
        <v>0</v>
      </c>
      <c r="AN43" s="156">
        <f>Commercial_2!AN43*'BTU Conversion Factor'!$F$4</f>
        <v>0</v>
      </c>
      <c r="AO43" s="156">
        <f>Commercial_2!AO43*'BTU Conversion Factor'!$F$4</f>
        <v>0</v>
      </c>
      <c r="AP43" s="156">
        <f>Commercial_2!AP43*'BTU Conversion Factor'!$F$4</f>
        <v>0</v>
      </c>
      <c r="AQ43" s="156">
        <f>Commercial_2!AQ43*'BTU Conversion Factor'!$F$4</f>
        <v>0</v>
      </c>
      <c r="AR43" s="156">
        <f>Commercial_2!AR43*'BTU Conversion Factor'!$F$4</f>
        <v>0</v>
      </c>
      <c r="AS43" s="156">
        <f>Commercial_2!AS43*'BTU Conversion Factor'!$F$4</f>
        <v>0</v>
      </c>
      <c r="AT43" s="156">
        <f>Commercial_2!AT43*'BTU Conversion Factor'!$F$4</f>
        <v>0</v>
      </c>
      <c r="AU43" s="156">
        <f>Commercial_2!AU43*'BTU Conversion Factor'!$F$4</f>
        <v>0</v>
      </c>
    </row>
    <row r="44" spans="1:47">
      <c r="B44" s="54" t="s">
        <v>961</v>
      </c>
      <c r="C44" s="156">
        <f>Commercial_2!C44*'BTU Conversion Factor'!$F$4</f>
        <v>0</v>
      </c>
      <c r="D44" s="156">
        <f>Commercial_2!D44*'BTU Conversion Factor'!$F$4</f>
        <v>0</v>
      </c>
      <c r="E44" s="156">
        <f>Commercial_2!E44*'BTU Conversion Factor'!$F$4</f>
        <v>0</v>
      </c>
      <c r="F44" s="156">
        <f>Commercial_2!F44*'BTU Conversion Factor'!$F$4</f>
        <v>0</v>
      </c>
      <c r="G44" s="156">
        <f>Commercial_2!G44*'BTU Conversion Factor'!$F$4</f>
        <v>0</v>
      </c>
      <c r="H44" s="156">
        <f>Commercial_2!H44*'BTU Conversion Factor'!$F$4</f>
        <v>0</v>
      </c>
      <c r="I44" s="156">
        <f>Commercial_2!I44*'BTU Conversion Factor'!$F$4</f>
        <v>0</v>
      </c>
      <c r="J44" s="156">
        <f>Commercial_2!J44*'BTU Conversion Factor'!$F$4</f>
        <v>0</v>
      </c>
      <c r="K44" s="156">
        <f>Commercial_2!K44*'BTU Conversion Factor'!$F$4</f>
        <v>0</v>
      </c>
      <c r="L44" s="156">
        <f>Commercial_2!L44*'BTU Conversion Factor'!$F$4</f>
        <v>0</v>
      </c>
      <c r="M44" s="156">
        <f>Commercial_2!M44*'BTU Conversion Factor'!$F$4</f>
        <v>0</v>
      </c>
      <c r="N44" s="156">
        <f>Commercial_2!N44*'BTU Conversion Factor'!$F$4</f>
        <v>0</v>
      </c>
      <c r="O44" s="156">
        <f>Commercial_2!O44*'BTU Conversion Factor'!$F$4</f>
        <v>0</v>
      </c>
      <c r="P44" s="156">
        <f>Commercial_2!P44*'BTU Conversion Factor'!$F$4</f>
        <v>0</v>
      </c>
      <c r="Q44" s="156">
        <f>Commercial_2!Q44*'BTU Conversion Factor'!$F$4</f>
        <v>0</v>
      </c>
      <c r="R44" s="156">
        <f>Commercial_2!R44*'BTU Conversion Factor'!$F$4</f>
        <v>0</v>
      </c>
      <c r="S44" s="156">
        <f>Commercial_2!S44*'BTU Conversion Factor'!$F$4</f>
        <v>0</v>
      </c>
      <c r="T44" s="156">
        <f>Commercial_2!T44*'BTU Conversion Factor'!$F$4</f>
        <v>0</v>
      </c>
      <c r="U44" s="156">
        <f>Commercial_2!U44*'BTU Conversion Factor'!$F$4</f>
        <v>0</v>
      </c>
      <c r="V44" s="156">
        <f>Commercial_2!V44*'BTU Conversion Factor'!$F$4</f>
        <v>0</v>
      </c>
      <c r="W44" s="156">
        <f>Commercial_2!W44*'BTU Conversion Factor'!$F$4</f>
        <v>0</v>
      </c>
      <c r="X44" s="156">
        <f>Commercial_2!X44*'BTU Conversion Factor'!$F$4</f>
        <v>0</v>
      </c>
      <c r="Y44" s="156">
        <f>Commercial_2!Y44*'BTU Conversion Factor'!$F$4</f>
        <v>0</v>
      </c>
      <c r="Z44" s="156">
        <f>Commercial_2!Z44*'BTU Conversion Factor'!$F$4</f>
        <v>0</v>
      </c>
      <c r="AA44" s="156">
        <f>Commercial_2!AA44*'BTU Conversion Factor'!$F$4</f>
        <v>0</v>
      </c>
      <c r="AB44" s="156">
        <f>Commercial_2!AB44*'BTU Conversion Factor'!$F$4</f>
        <v>0</v>
      </c>
      <c r="AC44" s="156">
        <f>Commercial_2!AC44*'BTU Conversion Factor'!$F$4</f>
        <v>0</v>
      </c>
      <c r="AD44" s="156">
        <f>Commercial_2!AD44*'BTU Conversion Factor'!$F$4</f>
        <v>0</v>
      </c>
      <c r="AE44" s="156">
        <f>Commercial_2!AE44*'BTU Conversion Factor'!$F$4</f>
        <v>0</v>
      </c>
      <c r="AF44" s="156">
        <f>Commercial_2!AF44*'BTU Conversion Factor'!$F$4</f>
        <v>0</v>
      </c>
      <c r="AG44" s="156">
        <f>Commercial_2!AG44*'BTU Conversion Factor'!$F$4</f>
        <v>0</v>
      </c>
      <c r="AH44" s="156">
        <f>Commercial_2!AH44*'BTU Conversion Factor'!$F$4</f>
        <v>0</v>
      </c>
      <c r="AI44" s="156">
        <f>Commercial_2!AI44*'BTU Conversion Factor'!$F$4</f>
        <v>0</v>
      </c>
      <c r="AJ44" s="156">
        <f>Commercial_2!AJ44*'BTU Conversion Factor'!$F$4</f>
        <v>0</v>
      </c>
      <c r="AK44" s="156">
        <f>Commercial_2!AK44*'BTU Conversion Factor'!$F$4</f>
        <v>0</v>
      </c>
      <c r="AL44" s="156">
        <f>Commercial_2!AL44*'BTU Conversion Factor'!$F$4</f>
        <v>0</v>
      </c>
      <c r="AM44" s="156">
        <f>Commercial_2!AM44*'BTU Conversion Factor'!$F$4</f>
        <v>0</v>
      </c>
      <c r="AN44" s="156">
        <f>Commercial_2!AN44*'BTU Conversion Factor'!$F$4</f>
        <v>0</v>
      </c>
      <c r="AO44" s="156">
        <f>Commercial_2!AO44*'BTU Conversion Factor'!$F$4</f>
        <v>0</v>
      </c>
      <c r="AP44" s="156">
        <f>Commercial_2!AP44*'BTU Conversion Factor'!$F$4</f>
        <v>0</v>
      </c>
      <c r="AQ44" s="156">
        <f>Commercial_2!AQ44*'BTU Conversion Factor'!$F$4</f>
        <v>0</v>
      </c>
      <c r="AR44" s="156">
        <f>Commercial_2!AR44*'BTU Conversion Factor'!$F$4</f>
        <v>0</v>
      </c>
      <c r="AS44" s="156">
        <f>Commercial_2!AS44*'BTU Conversion Factor'!$F$4</f>
        <v>0</v>
      </c>
      <c r="AT44" s="156">
        <f>Commercial_2!AT44*'BTU Conversion Factor'!$F$4</f>
        <v>0</v>
      </c>
      <c r="AU44" s="156">
        <f>Commercial_2!AU44*'BTU Conversion Factor'!$F$4</f>
        <v>0</v>
      </c>
    </row>
    <row r="45" spans="1:47">
      <c r="B45" s="54" t="s">
        <v>962</v>
      </c>
      <c r="C45" s="156">
        <f>Commercial_2!C45*'BTU Conversion Factor'!$F$4</f>
        <v>0</v>
      </c>
      <c r="D45" s="156">
        <f>Commercial_2!D45*'BTU Conversion Factor'!$F$4</f>
        <v>0</v>
      </c>
      <c r="E45" s="156">
        <f>Commercial_2!E45*'BTU Conversion Factor'!$F$4</f>
        <v>0</v>
      </c>
      <c r="F45" s="156">
        <f>Commercial_2!F45*'BTU Conversion Factor'!$F$4</f>
        <v>0</v>
      </c>
      <c r="G45" s="156">
        <f>Commercial_2!G45*'BTU Conversion Factor'!$F$4</f>
        <v>0</v>
      </c>
      <c r="H45" s="156">
        <f>Commercial_2!H45*'BTU Conversion Factor'!$F$4</f>
        <v>0</v>
      </c>
      <c r="I45" s="156">
        <f>Commercial_2!I45*'BTU Conversion Factor'!$F$4</f>
        <v>0</v>
      </c>
      <c r="J45" s="156">
        <f>Commercial_2!J45*'BTU Conversion Factor'!$F$4</f>
        <v>0</v>
      </c>
      <c r="K45" s="156">
        <f>Commercial_2!K45*'BTU Conversion Factor'!$F$4</f>
        <v>0</v>
      </c>
      <c r="L45" s="156">
        <f>Commercial_2!L45*'BTU Conversion Factor'!$F$4</f>
        <v>0</v>
      </c>
      <c r="M45" s="156">
        <f>Commercial_2!M45*'BTU Conversion Factor'!$F$4</f>
        <v>0</v>
      </c>
      <c r="N45" s="156">
        <f>Commercial_2!N45*'BTU Conversion Factor'!$F$4</f>
        <v>0</v>
      </c>
      <c r="O45" s="156">
        <f>Commercial_2!O45*'BTU Conversion Factor'!$F$4</f>
        <v>0</v>
      </c>
      <c r="P45" s="156">
        <f>Commercial_2!P45*'BTU Conversion Factor'!$F$4</f>
        <v>0</v>
      </c>
      <c r="Q45" s="156">
        <f>Commercial_2!Q45*'BTU Conversion Factor'!$F$4</f>
        <v>0</v>
      </c>
      <c r="R45" s="156">
        <f>Commercial_2!R45*'BTU Conversion Factor'!$F$4</f>
        <v>0</v>
      </c>
      <c r="S45" s="156">
        <f>Commercial_2!S45*'BTU Conversion Factor'!$F$4</f>
        <v>0</v>
      </c>
      <c r="T45" s="156">
        <f>Commercial_2!T45*'BTU Conversion Factor'!$F$4</f>
        <v>0</v>
      </c>
      <c r="U45" s="156">
        <f>Commercial_2!U45*'BTU Conversion Factor'!$F$4</f>
        <v>0</v>
      </c>
      <c r="V45" s="156">
        <f>Commercial_2!V45*'BTU Conversion Factor'!$F$4</f>
        <v>0</v>
      </c>
      <c r="W45" s="156">
        <f>Commercial_2!W45*'BTU Conversion Factor'!$F$4</f>
        <v>0</v>
      </c>
      <c r="X45" s="156">
        <f>Commercial_2!X45*'BTU Conversion Factor'!$F$4</f>
        <v>0</v>
      </c>
      <c r="Y45" s="156">
        <f>Commercial_2!Y45*'BTU Conversion Factor'!$F$4</f>
        <v>0</v>
      </c>
      <c r="Z45" s="156">
        <f>Commercial_2!Z45*'BTU Conversion Factor'!$F$4</f>
        <v>0</v>
      </c>
      <c r="AA45" s="156">
        <f>Commercial_2!AA45*'BTU Conversion Factor'!$F$4</f>
        <v>0</v>
      </c>
      <c r="AB45" s="156">
        <f>Commercial_2!AB45*'BTU Conversion Factor'!$F$4</f>
        <v>0</v>
      </c>
      <c r="AC45" s="156">
        <f>Commercial_2!AC45*'BTU Conversion Factor'!$F$4</f>
        <v>0</v>
      </c>
      <c r="AD45" s="156">
        <f>Commercial_2!AD45*'BTU Conversion Factor'!$F$4</f>
        <v>0</v>
      </c>
      <c r="AE45" s="156">
        <f>Commercial_2!AE45*'BTU Conversion Factor'!$F$4</f>
        <v>0</v>
      </c>
      <c r="AF45" s="156">
        <f>Commercial_2!AF45*'BTU Conversion Factor'!$F$4</f>
        <v>0</v>
      </c>
      <c r="AG45" s="156">
        <f>Commercial_2!AG45*'BTU Conversion Factor'!$F$4</f>
        <v>0</v>
      </c>
      <c r="AH45" s="156">
        <f>Commercial_2!AH45*'BTU Conversion Factor'!$F$4</f>
        <v>0</v>
      </c>
      <c r="AI45" s="156">
        <f>Commercial_2!AI45*'BTU Conversion Factor'!$F$4</f>
        <v>0</v>
      </c>
      <c r="AJ45" s="156">
        <f>Commercial_2!AJ45*'BTU Conversion Factor'!$F$4</f>
        <v>0</v>
      </c>
      <c r="AK45" s="156">
        <f>Commercial_2!AK45*'BTU Conversion Factor'!$F$4</f>
        <v>0</v>
      </c>
      <c r="AL45" s="156">
        <f>Commercial_2!AL45*'BTU Conversion Factor'!$F$4</f>
        <v>0</v>
      </c>
      <c r="AM45" s="156">
        <f>Commercial_2!AM45*'BTU Conversion Factor'!$F$4</f>
        <v>0</v>
      </c>
      <c r="AN45" s="156">
        <f>Commercial_2!AN45*'BTU Conversion Factor'!$F$4</f>
        <v>0</v>
      </c>
      <c r="AO45" s="156">
        <f>Commercial_2!AO45*'BTU Conversion Factor'!$F$4</f>
        <v>0</v>
      </c>
      <c r="AP45" s="156">
        <f>Commercial_2!AP45*'BTU Conversion Factor'!$F$4</f>
        <v>0</v>
      </c>
      <c r="AQ45" s="156">
        <f>Commercial_2!AQ45*'BTU Conversion Factor'!$F$4</f>
        <v>0</v>
      </c>
      <c r="AR45" s="156">
        <f>Commercial_2!AR45*'BTU Conversion Factor'!$F$4</f>
        <v>0</v>
      </c>
      <c r="AS45" s="156">
        <f>Commercial_2!AS45*'BTU Conversion Factor'!$F$4</f>
        <v>0</v>
      </c>
      <c r="AT45" s="156">
        <f>Commercial_2!AT45*'BTU Conversion Factor'!$F$4</f>
        <v>0</v>
      </c>
      <c r="AU45" s="156">
        <f>Commercial_2!AU45*'BTU Conversion Factor'!$F$4</f>
        <v>0</v>
      </c>
    </row>
    <row r="46" spans="1:47">
      <c r="B46" s="54" t="s">
        <v>963</v>
      </c>
      <c r="C46" s="156">
        <f>Commercial_2!C46*'BTU Conversion Factor'!$F$4</f>
        <v>0</v>
      </c>
      <c r="D46" s="156">
        <f>Commercial_2!D46*'BTU Conversion Factor'!$F$4</f>
        <v>0</v>
      </c>
      <c r="E46" s="156">
        <f>Commercial_2!E46*'BTU Conversion Factor'!$F$4</f>
        <v>0</v>
      </c>
      <c r="F46" s="156">
        <f>Commercial_2!F46*'BTU Conversion Factor'!$F$4</f>
        <v>0</v>
      </c>
      <c r="G46" s="156">
        <f>Commercial_2!G46*'BTU Conversion Factor'!$F$4</f>
        <v>0</v>
      </c>
      <c r="H46" s="156">
        <f>Commercial_2!H46*'BTU Conversion Factor'!$F$4</f>
        <v>0</v>
      </c>
      <c r="I46" s="156">
        <f>Commercial_2!I46*'BTU Conversion Factor'!$F$4</f>
        <v>0</v>
      </c>
      <c r="J46" s="156">
        <f>Commercial_2!J46*'BTU Conversion Factor'!$F$4</f>
        <v>0</v>
      </c>
      <c r="K46" s="156">
        <f>Commercial_2!K46*'BTU Conversion Factor'!$F$4</f>
        <v>0</v>
      </c>
      <c r="L46" s="156">
        <f>Commercial_2!L46*'BTU Conversion Factor'!$F$4</f>
        <v>0</v>
      </c>
      <c r="M46" s="156">
        <f>Commercial_2!M46*'BTU Conversion Factor'!$F$4</f>
        <v>0</v>
      </c>
      <c r="N46" s="156">
        <f>Commercial_2!N46*'BTU Conversion Factor'!$F$4</f>
        <v>0</v>
      </c>
      <c r="O46" s="156">
        <f>Commercial_2!O46*'BTU Conversion Factor'!$F$4</f>
        <v>0</v>
      </c>
      <c r="P46" s="156">
        <f>Commercial_2!P46*'BTU Conversion Factor'!$F$4</f>
        <v>0</v>
      </c>
      <c r="Q46" s="156">
        <f>Commercial_2!Q46*'BTU Conversion Factor'!$F$4</f>
        <v>0</v>
      </c>
      <c r="R46" s="156">
        <f>Commercial_2!R46*'BTU Conversion Factor'!$F$4</f>
        <v>0</v>
      </c>
      <c r="S46" s="156">
        <f>Commercial_2!S46*'BTU Conversion Factor'!$F$4</f>
        <v>0</v>
      </c>
      <c r="T46" s="156">
        <f>Commercial_2!T46*'BTU Conversion Factor'!$F$4</f>
        <v>0</v>
      </c>
      <c r="U46" s="156">
        <f>Commercial_2!U46*'BTU Conversion Factor'!$F$4</f>
        <v>0</v>
      </c>
      <c r="V46" s="156">
        <f>Commercial_2!V46*'BTU Conversion Factor'!$F$4</f>
        <v>0</v>
      </c>
      <c r="W46" s="156">
        <f>Commercial_2!W46*'BTU Conversion Factor'!$F$4</f>
        <v>0</v>
      </c>
      <c r="X46" s="156">
        <f>Commercial_2!X46*'BTU Conversion Factor'!$F$4</f>
        <v>0</v>
      </c>
      <c r="Y46" s="156">
        <f>Commercial_2!Y46*'BTU Conversion Factor'!$F$4</f>
        <v>0</v>
      </c>
      <c r="Z46" s="156">
        <f>Commercial_2!Z46*'BTU Conversion Factor'!$F$4</f>
        <v>0</v>
      </c>
      <c r="AA46" s="156">
        <f>Commercial_2!AA46*'BTU Conversion Factor'!$F$4</f>
        <v>0</v>
      </c>
      <c r="AB46" s="156">
        <f>Commercial_2!AB46*'BTU Conversion Factor'!$F$4</f>
        <v>0</v>
      </c>
      <c r="AC46" s="156">
        <f>Commercial_2!AC46*'BTU Conversion Factor'!$F$4</f>
        <v>0</v>
      </c>
      <c r="AD46" s="156">
        <f>Commercial_2!AD46*'BTU Conversion Factor'!$F$4</f>
        <v>0</v>
      </c>
      <c r="AE46" s="156">
        <f>Commercial_2!AE46*'BTU Conversion Factor'!$F$4</f>
        <v>0</v>
      </c>
      <c r="AF46" s="156">
        <f>Commercial_2!AF46*'BTU Conversion Factor'!$F$4</f>
        <v>0</v>
      </c>
      <c r="AG46" s="156">
        <f>Commercial_2!AG46*'BTU Conversion Factor'!$F$4</f>
        <v>0</v>
      </c>
      <c r="AH46" s="156">
        <f>Commercial_2!AH46*'BTU Conversion Factor'!$F$4</f>
        <v>0</v>
      </c>
      <c r="AI46" s="156">
        <f>Commercial_2!AI46*'BTU Conversion Factor'!$F$4</f>
        <v>0</v>
      </c>
      <c r="AJ46" s="156">
        <f>Commercial_2!AJ46*'BTU Conversion Factor'!$F$4</f>
        <v>0</v>
      </c>
      <c r="AK46" s="156">
        <f>Commercial_2!AK46*'BTU Conversion Factor'!$F$4</f>
        <v>0</v>
      </c>
      <c r="AL46" s="156">
        <f>Commercial_2!AL46*'BTU Conversion Factor'!$F$4</f>
        <v>0</v>
      </c>
      <c r="AM46" s="156">
        <f>Commercial_2!AM46*'BTU Conversion Factor'!$F$4</f>
        <v>0</v>
      </c>
      <c r="AN46" s="156">
        <f>Commercial_2!AN46*'BTU Conversion Factor'!$F$4</f>
        <v>0</v>
      </c>
      <c r="AO46" s="156">
        <f>Commercial_2!AO46*'BTU Conversion Factor'!$F$4</f>
        <v>0</v>
      </c>
      <c r="AP46" s="156">
        <f>Commercial_2!AP46*'BTU Conversion Factor'!$F$4</f>
        <v>0</v>
      </c>
      <c r="AQ46" s="156">
        <f>Commercial_2!AQ46*'BTU Conversion Factor'!$F$4</f>
        <v>0</v>
      </c>
      <c r="AR46" s="156">
        <f>Commercial_2!AR46*'BTU Conversion Factor'!$F$4</f>
        <v>0</v>
      </c>
      <c r="AS46" s="156">
        <f>Commercial_2!AS46*'BTU Conversion Factor'!$F$4</f>
        <v>0</v>
      </c>
      <c r="AT46" s="156">
        <f>Commercial_2!AT46*'BTU Conversion Factor'!$F$4</f>
        <v>0</v>
      </c>
      <c r="AU46" s="156">
        <f>Commercial_2!AU46*'BTU Conversion Factor'!$F$4</f>
        <v>0</v>
      </c>
    </row>
    <row r="47" spans="1:47">
      <c r="C47" t="s">
        <v>964</v>
      </c>
      <c r="D47">
        <v>1055</v>
      </c>
      <c r="E47" t="s">
        <v>965</v>
      </c>
    </row>
    <row r="48" spans="1:47">
      <c r="A48" t="s">
        <v>802</v>
      </c>
      <c r="B48" s="54" t="s">
        <v>966</v>
      </c>
      <c r="C48" s="156">
        <f>SUM(C5:C10)+SUM(C14:C19)+SUM(C23:C28)+SUM(C32:C37)+SUM(C41:C46)</f>
        <v>106039086804000</v>
      </c>
      <c r="D48" s="156">
        <f t="shared" ref="D48:AU48" si="0">SUM(D5:D10)+SUM(D14:D19)+SUM(D23:D28)+SUM(D32:D37)+SUM(D41:D46)</f>
        <v>107057943369999.98</v>
      </c>
      <c r="E48" s="156">
        <f t="shared" si="0"/>
        <v>108076799935999.77</v>
      </c>
      <c r="F48" s="156">
        <f t="shared" si="0"/>
        <v>109095656501999.97</v>
      </c>
      <c r="G48" s="156">
        <f t="shared" si="0"/>
        <v>110114513067999.72</v>
      </c>
      <c r="H48" s="156">
        <f t="shared" si="0"/>
        <v>111133369633999.97</v>
      </c>
      <c r="I48" s="156">
        <f t="shared" si="0"/>
        <v>112152226200000</v>
      </c>
      <c r="J48" s="156">
        <f t="shared" si="0"/>
        <v>112039438000000</v>
      </c>
      <c r="K48" s="156">
        <f t="shared" si="0"/>
        <v>113371097000000</v>
      </c>
      <c r="L48" s="156">
        <f t="shared" si="0"/>
        <v>114131232600000</v>
      </c>
      <c r="M48" s="156">
        <f t="shared" si="0"/>
        <v>114171040200000</v>
      </c>
      <c r="N48" s="156">
        <f t="shared" si="0"/>
        <v>114121754600000</v>
      </c>
      <c r="O48" s="156">
        <f t="shared" si="0"/>
        <v>116847542098000</v>
      </c>
      <c r="P48" s="156">
        <f t="shared" si="0"/>
        <v>116581295600000</v>
      </c>
      <c r="Q48" s="156">
        <f t="shared" si="0"/>
        <v>107566134774000</v>
      </c>
      <c r="R48" s="156">
        <f t="shared" si="0"/>
        <v>113814667400000</v>
      </c>
      <c r="S48" s="156">
        <f t="shared" si="0"/>
        <v>118811172158085.83</v>
      </c>
      <c r="T48" s="156">
        <f t="shared" si="0"/>
        <v>121055682057086.55</v>
      </c>
      <c r="U48" s="156">
        <f t="shared" si="0"/>
        <v>122128169936096.25</v>
      </c>
      <c r="V48" s="156">
        <f t="shared" si="0"/>
        <v>122716230975730.7</v>
      </c>
      <c r="W48" s="156">
        <f t="shared" si="0"/>
        <v>123521369492655.75</v>
      </c>
      <c r="X48" s="156">
        <f t="shared" si="0"/>
        <v>124326508009580.77</v>
      </c>
      <c r="Y48" s="156">
        <f t="shared" si="0"/>
        <v>125131646526505.81</v>
      </c>
      <c r="Z48" s="156">
        <f t="shared" si="0"/>
        <v>125936785043430.88</v>
      </c>
      <c r="AA48" s="156">
        <f t="shared" si="0"/>
        <v>126741923560355.91</v>
      </c>
      <c r="AB48" s="156">
        <f t="shared" si="0"/>
        <v>127547062077280.92</v>
      </c>
      <c r="AC48" s="156">
        <f t="shared" si="0"/>
        <v>128352200594206</v>
      </c>
      <c r="AD48" s="156">
        <f t="shared" si="0"/>
        <v>129157339111131.06</v>
      </c>
      <c r="AE48" s="156">
        <f t="shared" si="0"/>
        <v>129962477628056.06</v>
      </c>
      <c r="AF48" s="156">
        <f t="shared" si="0"/>
        <v>130767616144981.09</v>
      </c>
      <c r="AG48" s="156">
        <f t="shared" si="0"/>
        <v>131572754661905.91</v>
      </c>
      <c r="AH48" s="156">
        <f t="shared" si="0"/>
        <v>132377893178830.97</v>
      </c>
      <c r="AI48" s="156">
        <f t="shared" si="0"/>
        <v>133183031695756</v>
      </c>
      <c r="AJ48" s="156">
        <f t="shared" si="0"/>
        <v>133988170212681.03</v>
      </c>
      <c r="AK48" s="156">
        <f t="shared" si="0"/>
        <v>134793308729606.06</v>
      </c>
      <c r="AL48" s="156">
        <f t="shared" si="0"/>
        <v>135598447246531.11</v>
      </c>
      <c r="AM48" s="156">
        <f t="shared" si="0"/>
        <v>136403585763456.17</v>
      </c>
      <c r="AN48" s="156">
        <f t="shared" si="0"/>
        <v>137208724280381.2</v>
      </c>
      <c r="AO48" s="156">
        <f t="shared" si="0"/>
        <v>138013862797306.22</v>
      </c>
      <c r="AP48" s="156">
        <f t="shared" si="0"/>
        <v>138819001314231.31</v>
      </c>
      <c r="AQ48" s="156">
        <f t="shared" si="0"/>
        <v>139624139831156.34</v>
      </c>
      <c r="AR48" s="156">
        <f t="shared" si="0"/>
        <v>140429278348081.36</v>
      </c>
      <c r="AS48" s="156">
        <f t="shared" si="0"/>
        <v>141234416865006.44</v>
      </c>
      <c r="AT48" s="156">
        <f t="shared" si="0"/>
        <v>142039555381931.47</v>
      </c>
      <c r="AU48" s="156">
        <f t="shared" si="0"/>
        <v>142844693898856.5</v>
      </c>
    </row>
    <row r="49" spans="1:47">
      <c r="A49" t="s">
        <v>802</v>
      </c>
      <c r="B49" s="54" t="s">
        <v>784</v>
      </c>
      <c r="C49" s="56">
        <f>C48*$D$47/10^12</f>
        <v>111871.23657822001</v>
      </c>
      <c r="D49" s="56">
        <f t="shared" ref="D49:AU49" si="1">D48*$D$47/10^12</f>
        <v>112946.13025534998</v>
      </c>
      <c r="E49" s="56">
        <f t="shared" si="1"/>
        <v>114021.02393247976</v>
      </c>
      <c r="F49" s="56">
        <f t="shared" si="1"/>
        <v>115095.91760960997</v>
      </c>
      <c r="G49" s="56">
        <f t="shared" si="1"/>
        <v>116170.8112867397</v>
      </c>
      <c r="H49" s="56">
        <f t="shared" si="1"/>
        <v>117245.70496386997</v>
      </c>
      <c r="I49" s="56">
        <f t="shared" si="1"/>
        <v>118320.598641</v>
      </c>
      <c r="J49" s="56">
        <f t="shared" si="1"/>
        <v>118201.60709</v>
      </c>
      <c r="K49" s="56">
        <f t="shared" si="1"/>
        <v>119606.507335</v>
      </c>
      <c r="L49" s="56">
        <f t="shared" si="1"/>
        <v>120408.45039300001</v>
      </c>
      <c r="M49" s="56">
        <f t="shared" si="1"/>
        <v>120450.447411</v>
      </c>
      <c r="N49" s="56">
        <f t="shared" si="1"/>
        <v>120398.451103</v>
      </c>
      <c r="O49" s="56">
        <f t="shared" si="1"/>
        <v>123274.15691339</v>
      </c>
      <c r="P49" s="56">
        <f t="shared" si="1"/>
        <v>122993.266858</v>
      </c>
      <c r="Q49" s="56">
        <f t="shared" si="1"/>
        <v>113482.27218657</v>
      </c>
      <c r="R49" s="56">
        <f t="shared" si="1"/>
        <v>120074.474107</v>
      </c>
      <c r="S49" s="56">
        <f t="shared" si="1"/>
        <v>125345.78662678055</v>
      </c>
      <c r="T49" s="56">
        <f t="shared" si="1"/>
        <v>127713.74457022631</v>
      </c>
      <c r="U49" s="56">
        <f t="shared" si="1"/>
        <v>128845.21928258153</v>
      </c>
      <c r="V49" s="56">
        <f t="shared" si="1"/>
        <v>129465.62367939588</v>
      </c>
      <c r="W49" s="56">
        <f t="shared" si="1"/>
        <v>130315.04481475182</v>
      </c>
      <c r="X49" s="56">
        <f t="shared" si="1"/>
        <v>131164.46595010773</v>
      </c>
      <c r="Y49" s="56">
        <f t="shared" si="1"/>
        <v>132013.88708546362</v>
      </c>
      <c r="Z49" s="56">
        <f t="shared" si="1"/>
        <v>132863.30822081957</v>
      </c>
      <c r="AA49" s="56">
        <f t="shared" si="1"/>
        <v>133712.72935617549</v>
      </c>
      <c r="AB49" s="56">
        <f t="shared" si="1"/>
        <v>134562.15049153139</v>
      </c>
      <c r="AC49" s="56">
        <f t="shared" si="1"/>
        <v>135411.57162688734</v>
      </c>
      <c r="AD49" s="56">
        <f t="shared" si="1"/>
        <v>136260.99276224326</v>
      </c>
      <c r="AE49" s="56">
        <f t="shared" si="1"/>
        <v>137110.41389759915</v>
      </c>
      <c r="AF49" s="56">
        <f t="shared" si="1"/>
        <v>137959.83503295504</v>
      </c>
      <c r="AG49" s="56">
        <f t="shared" si="1"/>
        <v>138809.25616831073</v>
      </c>
      <c r="AH49" s="56">
        <f t="shared" si="1"/>
        <v>139658.67730366669</v>
      </c>
      <c r="AI49" s="56">
        <f t="shared" si="1"/>
        <v>140508.09843902258</v>
      </c>
      <c r="AJ49" s="56">
        <f t="shared" si="1"/>
        <v>141357.51957437847</v>
      </c>
      <c r="AK49" s="56">
        <f t="shared" si="1"/>
        <v>142206.94070973439</v>
      </c>
      <c r="AL49" s="56">
        <f t="shared" si="1"/>
        <v>143056.36184509032</v>
      </c>
      <c r="AM49" s="56">
        <f t="shared" si="1"/>
        <v>143905.78298044627</v>
      </c>
      <c r="AN49" s="56">
        <f t="shared" si="1"/>
        <v>144755.20411580219</v>
      </c>
      <c r="AO49" s="56">
        <f t="shared" si="1"/>
        <v>145604.62525115805</v>
      </c>
      <c r="AP49" s="56">
        <f t="shared" si="1"/>
        <v>146454.04638651403</v>
      </c>
      <c r="AQ49" s="56">
        <f t="shared" si="1"/>
        <v>147303.46752186996</v>
      </c>
      <c r="AR49" s="56">
        <f t="shared" si="1"/>
        <v>148152.88865722582</v>
      </c>
      <c r="AS49" s="56">
        <f t="shared" si="1"/>
        <v>149002.3097925818</v>
      </c>
      <c r="AT49" s="56">
        <f t="shared" si="1"/>
        <v>149851.73092793769</v>
      </c>
      <c r="AU49" s="56">
        <f t="shared" si="1"/>
        <v>150701.15206329359</v>
      </c>
    </row>
  </sheetData>
  <phoneticPr fontId="3"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U68"/>
  <sheetViews>
    <sheetView zoomScale="85" workbookViewId="0">
      <selection activeCell="AW27" sqref="AW27"/>
    </sheetView>
  </sheetViews>
  <sheetFormatPr defaultColWidth="8.7265625" defaultRowHeight="14.5"/>
  <cols>
    <col min="1" max="1" width="14.453125" customWidth="1"/>
    <col min="2" max="2" width="11.1796875" bestFit="1" customWidth="1"/>
    <col min="3" max="3" width="9.453125" customWidth="1"/>
    <col min="4" max="4" width="9.7265625" bestFit="1" customWidth="1"/>
    <col min="7" max="7" width="10.81640625" bestFit="1" customWidth="1"/>
    <col min="8" max="8" width="5.81640625" customWidth="1"/>
    <col min="9" max="9" width="6.1796875" style="508" customWidth="1"/>
    <col min="10" max="10" width="5.81640625" customWidth="1"/>
    <col min="19" max="19" width="8.7265625" style="508"/>
    <col min="20" max="20" width="6.26953125" customWidth="1"/>
    <col min="29" max="29" width="8.7265625" style="508"/>
    <col min="39" max="39" width="6.7265625" style="508" customWidth="1"/>
    <col min="42" max="42" width="10.1796875" bestFit="1" customWidth="1"/>
  </cols>
  <sheetData>
    <row r="1" spans="1:47" ht="26.15" customHeight="1">
      <c r="A1" s="106" t="s">
        <v>967</v>
      </c>
    </row>
    <row r="2" spans="1:47">
      <c r="A2" s="18"/>
    </row>
    <row r="3" spans="1:47">
      <c r="A3" t="s">
        <v>936</v>
      </c>
      <c r="U3" t="s">
        <v>936</v>
      </c>
      <c r="AE3" t="s">
        <v>936</v>
      </c>
      <c r="AO3" t="s">
        <v>936</v>
      </c>
    </row>
    <row r="4" spans="1:47">
      <c r="A4">
        <f>A9</f>
        <v>2006</v>
      </c>
      <c r="B4" s="56">
        <f>B9</f>
        <v>2062.5449866785084</v>
      </c>
      <c r="C4" s="56">
        <f>C9</f>
        <v>0</v>
      </c>
      <c r="D4" s="56">
        <f>D9</f>
        <v>0</v>
      </c>
      <c r="E4" s="56">
        <f>E9</f>
        <v>0</v>
      </c>
      <c r="L4" s="56"/>
      <c r="M4" s="56"/>
      <c r="N4" s="56"/>
      <c r="O4" s="56"/>
      <c r="U4">
        <f>U9</f>
        <v>2006</v>
      </c>
      <c r="V4" s="56">
        <f>V9</f>
        <v>0</v>
      </c>
      <c r="W4" s="56">
        <f>W9</f>
        <v>0</v>
      </c>
      <c r="X4" s="56">
        <f>X9</f>
        <v>0</v>
      </c>
      <c r="Y4" s="56">
        <f>Y9</f>
        <v>0</v>
      </c>
      <c r="AE4">
        <f>AE9</f>
        <v>2006</v>
      </c>
      <c r="AF4" s="56">
        <f>AF9</f>
        <v>8503.6770959147434</v>
      </c>
      <c r="AG4" s="56">
        <f>AG9</f>
        <v>0</v>
      </c>
      <c r="AH4" s="56">
        <f>AH9</f>
        <v>8903.0403148261139</v>
      </c>
      <c r="AI4" s="56">
        <f>AI9</f>
        <v>0</v>
      </c>
      <c r="AO4">
        <f>AO9</f>
        <v>2006</v>
      </c>
      <c r="AP4" s="56">
        <f>AP9</f>
        <v>854.59266207815278</v>
      </c>
      <c r="AQ4" s="56">
        <f>AQ9</f>
        <v>0</v>
      </c>
      <c r="AR4" s="56">
        <f>AR9</f>
        <v>8.6996851738865164</v>
      </c>
      <c r="AS4" s="56">
        <f>AS9</f>
        <v>0</v>
      </c>
    </row>
    <row r="5" spans="1:47">
      <c r="A5">
        <f>A15</f>
        <v>2012</v>
      </c>
      <c r="B5" s="56">
        <f>B15</f>
        <v>2107.8414946921444</v>
      </c>
      <c r="C5" s="56">
        <f>C15</f>
        <v>0</v>
      </c>
      <c r="D5" s="56">
        <f>D15</f>
        <v>0</v>
      </c>
      <c r="E5" s="56">
        <f>E15</f>
        <v>0</v>
      </c>
      <c r="L5" s="56"/>
      <c r="M5" s="56"/>
      <c r="N5" s="56"/>
      <c r="O5" s="56"/>
      <c r="U5">
        <f>U15</f>
        <v>2012</v>
      </c>
      <c r="V5" s="56">
        <f>V15</f>
        <v>0</v>
      </c>
      <c r="W5" s="56">
        <f>W15</f>
        <v>0</v>
      </c>
      <c r="X5" s="56">
        <f>X15</f>
        <v>0</v>
      </c>
      <c r="Y5" s="56">
        <f>Y15</f>
        <v>0</v>
      </c>
      <c r="AE5">
        <f>AE15</f>
        <v>2012</v>
      </c>
      <c r="AF5" s="56">
        <f>AF15</f>
        <v>9177.8931748053783</v>
      </c>
      <c r="AG5" s="56">
        <f>AG15</f>
        <v>0</v>
      </c>
      <c r="AH5" s="56">
        <f>AH15</f>
        <v>9090.44</v>
      </c>
      <c r="AI5" s="56">
        <f>AI15</f>
        <v>0</v>
      </c>
      <c r="AO5">
        <f>AO15</f>
        <v>2012</v>
      </c>
      <c r="AP5" s="56">
        <f>AP15</f>
        <v>1915.9591847133756</v>
      </c>
      <c r="AQ5" s="56">
        <f>AQ15</f>
        <v>0</v>
      </c>
      <c r="AR5" s="56">
        <f>AR15</f>
        <v>1.1182728502890886</v>
      </c>
      <c r="AS5" s="56">
        <f>AS15</f>
        <v>0</v>
      </c>
    </row>
    <row r="6" spans="1:47">
      <c r="A6" s="53"/>
    </row>
    <row r="7" spans="1:47" s="506" customFormat="1" ht="15.5">
      <c r="A7" s="505" t="s">
        <v>512</v>
      </c>
      <c r="I7" s="509"/>
      <c r="K7" s="507" t="s">
        <v>937</v>
      </c>
      <c r="S7" s="509"/>
      <c r="U7" s="507" t="s">
        <v>938</v>
      </c>
      <c r="AC7" s="509"/>
      <c r="AE7" s="507" t="s">
        <v>939</v>
      </c>
      <c r="AM7" s="509"/>
      <c r="AO7" s="507" t="s">
        <v>516</v>
      </c>
    </row>
    <row r="8" spans="1:47" s="54" customFormat="1">
      <c r="A8" s="54" t="s">
        <v>557</v>
      </c>
      <c r="B8" s="54" t="s">
        <v>940</v>
      </c>
      <c r="C8" s="54" t="s">
        <v>941</v>
      </c>
      <c r="D8" s="54" t="s">
        <v>942</v>
      </c>
      <c r="E8" s="54" t="s">
        <v>943</v>
      </c>
      <c r="F8" s="54" t="s">
        <v>944</v>
      </c>
      <c r="G8" s="54" t="s">
        <v>945</v>
      </c>
      <c r="I8" s="510"/>
      <c r="K8" s="54" t="s">
        <v>557</v>
      </c>
      <c r="L8" s="54" t="s">
        <v>940</v>
      </c>
      <c r="M8" s="54" t="s">
        <v>941</v>
      </c>
      <c r="N8" s="54" t="s">
        <v>942</v>
      </c>
      <c r="O8" s="54" t="s">
        <v>943</v>
      </c>
      <c r="P8" s="54" t="s">
        <v>944</v>
      </c>
      <c r="Q8" s="54" t="s">
        <v>945</v>
      </c>
      <c r="S8" s="510"/>
      <c r="U8" s="54" t="s">
        <v>557</v>
      </c>
      <c r="V8" s="54" t="s">
        <v>940</v>
      </c>
      <c r="W8" s="54" t="s">
        <v>941</v>
      </c>
      <c r="X8" s="54" t="s">
        <v>942</v>
      </c>
      <c r="Y8" s="54" t="s">
        <v>943</v>
      </c>
      <c r="Z8" s="54" t="s">
        <v>944</v>
      </c>
      <c r="AA8" s="54" t="s">
        <v>945</v>
      </c>
      <c r="AC8" s="510"/>
      <c r="AE8" s="54" t="s">
        <v>557</v>
      </c>
      <c r="AF8" s="54" t="s">
        <v>940</v>
      </c>
      <c r="AG8" s="54" t="s">
        <v>941</v>
      </c>
      <c r="AH8" s="54" t="s">
        <v>942</v>
      </c>
      <c r="AI8" s="54" t="s">
        <v>943</v>
      </c>
      <c r="AJ8" s="54" t="s">
        <v>944</v>
      </c>
      <c r="AK8" s="54" t="s">
        <v>945</v>
      </c>
      <c r="AM8" s="510"/>
      <c r="AO8" s="54" t="s">
        <v>557</v>
      </c>
      <c r="AP8" s="54" t="s">
        <v>940</v>
      </c>
      <c r="AQ8" s="54" t="s">
        <v>941</v>
      </c>
      <c r="AR8" s="54" t="s">
        <v>942</v>
      </c>
      <c r="AS8" s="54" t="s">
        <v>943</v>
      </c>
      <c r="AT8" s="54" t="s">
        <v>944</v>
      </c>
      <c r="AU8" s="54" t="s">
        <v>945</v>
      </c>
    </row>
    <row r="9" spans="1:47">
      <c r="A9" s="58">
        <v>2006</v>
      </c>
      <c r="B9" s="113">
        <f>'Future Type Share'!C7*'Future Type Share'!M7*'Future EndUse Share'!AA17</f>
        <v>2062.5449866785084</v>
      </c>
      <c r="C9" s="58">
        <f>'Future Type Share'!C7*'Future Type Share'!I7*0.5*'Future EndUse Share'!P17</f>
        <v>0</v>
      </c>
      <c r="D9" s="58">
        <f>'Future Type Share'!H7*'Future EndUse Share'!P17</f>
        <v>0</v>
      </c>
      <c r="E9" s="113">
        <f>C9</f>
        <v>0</v>
      </c>
      <c r="F9" s="58">
        <v>0</v>
      </c>
      <c r="G9" s="58">
        <v>0</v>
      </c>
      <c r="K9" s="512">
        <v>2006</v>
      </c>
      <c r="L9" s="513">
        <f>'Future Type Share'!C7*'Future Type Share'!M7*'Future EndUse Share'!Y17</f>
        <v>5878.4452553285973</v>
      </c>
      <c r="M9" s="513">
        <f>'Future Type Share'!C7*'Future Type Share'!I7*0.5*'Future EndUse Share'!N17</f>
        <v>0</v>
      </c>
      <c r="N9" s="513">
        <f>'Future Type Share'!H7*'Future EndUse Share'!N17</f>
        <v>0</v>
      </c>
      <c r="O9" s="513">
        <f>M9</f>
        <v>0</v>
      </c>
      <c r="P9" s="512">
        <v>0</v>
      </c>
      <c r="Q9" s="512">
        <v>0</v>
      </c>
      <c r="U9" s="58">
        <v>2006</v>
      </c>
      <c r="V9" s="58">
        <v>0</v>
      </c>
      <c r="W9" s="58">
        <v>0</v>
      </c>
      <c r="X9" s="58">
        <v>0</v>
      </c>
      <c r="Y9" s="58">
        <v>0</v>
      </c>
      <c r="Z9" s="58">
        <v>0</v>
      </c>
      <c r="AA9" s="58">
        <v>0</v>
      </c>
      <c r="AE9" s="58">
        <v>2006</v>
      </c>
      <c r="AF9" s="113">
        <f>'Future Type Share'!C7*'Future Type Share'!M7*('Future EndUse Share'!Z17+'Future EndUse Share'!AB17+'Future EndUse Share'!AC17+'Future EndUse Share'!AD17)</f>
        <v>8503.6770959147434</v>
      </c>
      <c r="AG9" s="113">
        <f>'Future Type Share'!C7*'Future Type Share'!K7*0.5*('Future EndUse Share'!O17+'Future EndUse Share'!Q17+'Future EndUse Share'!R17+'Future EndUse Share'!S17)</f>
        <v>0</v>
      </c>
      <c r="AH9" s="113">
        <f>'Future Type Share'!C7*'Future Type Share'!I7*('Future EndUse Share'!O17+'Future EndUse Share'!Q17+'Future EndUse Share'!R17+'Future EndUse Share'!S17)</f>
        <v>8903.0403148261139</v>
      </c>
      <c r="AI9" s="113">
        <f>AG9</f>
        <v>0</v>
      </c>
      <c r="AJ9" s="58">
        <v>0</v>
      </c>
      <c r="AK9" s="58">
        <v>0</v>
      </c>
      <c r="AO9" s="58">
        <v>2006</v>
      </c>
      <c r="AP9" s="113">
        <f>'Future Type Share'!C7*'Future Type Share'!M7*'Future EndUse Share'!AE17</f>
        <v>854.59266207815278</v>
      </c>
      <c r="AQ9" s="113">
        <f>'Future Type Share'!C7*'Future Type Share'!K7*0.5*('Future EndUse Share'!T17)</f>
        <v>0</v>
      </c>
      <c r="AR9" s="113">
        <f>'Future Type Share'!C7*'Future Type Share'!I7*('Future EndUse Share'!T17)</f>
        <v>8.6996851738865164</v>
      </c>
      <c r="AS9" s="113">
        <f>AQ9</f>
        <v>0</v>
      </c>
      <c r="AT9" s="58">
        <v>0</v>
      </c>
      <c r="AU9" s="58">
        <v>0</v>
      </c>
    </row>
    <row r="10" spans="1:47">
      <c r="A10" s="58">
        <v>2007</v>
      </c>
      <c r="B10" s="113">
        <f>'Future Type Share'!C8*'Future Type Share'!M8*'Future EndUse Share'!AA18</f>
        <v>2020.5925866236907</v>
      </c>
      <c r="C10" s="58">
        <f>'Future Type Share'!C8*'Future Type Share'!I8*0.5*'Future EndUse Share'!P18</f>
        <v>0</v>
      </c>
      <c r="D10" s="58">
        <f>'Future Type Share'!H8*'Future EndUse Share'!P18</f>
        <v>0</v>
      </c>
      <c r="E10" s="113">
        <f t="shared" ref="E10:E14" si="0">TREND(E$4:E$5,$A$4:$A$5,$A10)</f>
        <v>0</v>
      </c>
      <c r="F10" s="113">
        <f t="shared" ref="F10:G14" si="1">TREND(F$15:F$19,$A$15:$A$19,$A10)</f>
        <v>0</v>
      </c>
      <c r="G10" s="113">
        <f t="shared" si="1"/>
        <v>0</v>
      </c>
      <c r="K10" s="512">
        <v>2007</v>
      </c>
      <c r="L10" s="513">
        <f>'Future Type Share'!C8*'Future Type Share'!M8*'Future EndUse Share'!Y18</f>
        <v>5942.4665785656725</v>
      </c>
      <c r="M10" s="513">
        <f>'Future Type Share'!C8*'Future Type Share'!I8*0.5*'Future EndUse Share'!N18</f>
        <v>0</v>
      </c>
      <c r="N10" s="513">
        <f>'Future Type Share'!H8*'Future EndUse Share'!N18</f>
        <v>0</v>
      </c>
      <c r="O10" s="513">
        <f t="shared" ref="O10:O24" si="2">M10</f>
        <v>0</v>
      </c>
      <c r="P10" s="512">
        <v>0</v>
      </c>
      <c r="Q10" s="512">
        <v>0</v>
      </c>
      <c r="U10" s="58">
        <v>2007</v>
      </c>
      <c r="V10" s="58">
        <v>0</v>
      </c>
      <c r="W10" s="58">
        <v>0</v>
      </c>
      <c r="X10" s="58">
        <v>0</v>
      </c>
      <c r="Y10" s="58">
        <v>0</v>
      </c>
      <c r="Z10" s="58">
        <v>0</v>
      </c>
      <c r="AA10" s="58">
        <v>0</v>
      </c>
      <c r="AE10" s="58">
        <v>2007</v>
      </c>
      <c r="AF10" s="113">
        <f>'Future Type Share'!C8*'Future Type Share'!M8*('Future EndUse Share'!Z18+'Future EndUse Share'!AB18+'Future EndUse Share'!AC18+'Future EndUse Share'!AD18)</f>
        <v>9044.5572925060424</v>
      </c>
      <c r="AG10" s="113">
        <f>'Future Type Share'!C8*'Future Type Share'!K8*0.5*('Future EndUse Share'!Z18+'Future EndUse Share'!AB18+'Future EndUse Share'!AC18+'Future EndUse Share'!AD18)</f>
        <v>0</v>
      </c>
      <c r="AH10" s="113">
        <f>'Future Type Share'!C8*'Future Type Share'!I8*('Future EndUse Share'!O18+'Future EndUse Share'!Q18+'Future EndUse Share'!R18+'Future EndUse Share'!S18)</f>
        <v>8812.1096341463417</v>
      </c>
      <c r="AI10" s="113">
        <f t="shared" ref="AI10:AI14" si="3">TREND(AI$4:AI$5,$AO$4:$AO$5,$AO10)</f>
        <v>0</v>
      </c>
      <c r="AJ10" s="113">
        <f t="shared" ref="AJ10:AK14" si="4">TREND(AJ$15:AJ$19,$AE$15:$AE$19,$AE10)</f>
        <v>0</v>
      </c>
      <c r="AK10" s="113">
        <f t="shared" si="4"/>
        <v>0</v>
      </c>
      <c r="AO10" s="58">
        <v>2007</v>
      </c>
      <c r="AP10" s="113">
        <f>'Future Type Share'!C8*'Future Type Share'!M8*'Future EndUse Share'!AE18</f>
        <v>903.49354230459312</v>
      </c>
      <c r="AQ10" s="113">
        <f>'Future Type Share'!C8*'Future Type Share'!K8*0.5*('Future EndUse Share'!T18)</f>
        <v>0</v>
      </c>
      <c r="AR10" s="113">
        <f>'Future Type Share'!C8*'Future Type Share'!I8*('Future EndUse Share'!T18)</f>
        <v>9.7803658536585374</v>
      </c>
      <c r="AS10" s="113">
        <f>TREND(AS$4:AS$5,$AO$4:$AO$5,$AO10)</f>
        <v>0</v>
      </c>
      <c r="AT10" s="113">
        <f t="shared" ref="AT10:AU14" si="5">TREND(AT$15:AT$19,$AO$15:$AO$19,$AO10)</f>
        <v>0</v>
      </c>
      <c r="AU10" s="113">
        <f t="shared" si="5"/>
        <v>0</v>
      </c>
    </row>
    <row r="11" spans="1:47">
      <c r="A11" s="58">
        <v>2008</v>
      </c>
      <c r="B11" s="113">
        <f>'Future Type Share'!C9*'Future Type Share'!M9*'Future EndUse Share'!AA19</f>
        <v>1948.9996524355449</v>
      </c>
      <c r="C11" s="58">
        <f>'Future Type Share'!C9*'Future Type Share'!I9*0.5*'Future EndUse Share'!P19</f>
        <v>0</v>
      </c>
      <c r="D11" s="58">
        <f>'Future Type Share'!H9*'Future EndUse Share'!P19</f>
        <v>0</v>
      </c>
      <c r="E11" s="113">
        <f t="shared" si="0"/>
        <v>0</v>
      </c>
      <c r="F11" s="113">
        <f t="shared" si="1"/>
        <v>0</v>
      </c>
      <c r="G11" s="113">
        <f t="shared" si="1"/>
        <v>0</v>
      </c>
      <c r="K11" s="512">
        <v>2008</v>
      </c>
      <c r="L11" s="513">
        <f>'Future Type Share'!C9*'Future Type Share'!M9*'Future EndUse Share'!Y19</f>
        <v>5918.1303314831148</v>
      </c>
      <c r="M11" s="513">
        <f>'Future Type Share'!C9*'Future Type Share'!I9*0.5*'Future EndUse Share'!N19</f>
        <v>0</v>
      </c>
      <c r="N11" s="513">
        <f>'Future Type Share'!H9*'Future EndUse Share'!N19</f>
        <v>0</v>
      </c>
      <c r="O11" s="513">
        <f t="shared" si="2"/>
        <v>0</v>
      </c>
      <c r="P11" s="512">
        <v>0</v>
      </c>
      <c r="Q11" s="512">
        <v>0</v>
      </c>
      <c r="U11" s="58">
        <v>2008</v>
      </c>
      <c r="V11" s="58">
        <v>0</v>
      </c>
      <c r="W11" s="58">
        <v>0</v>
      </c>
      <c r="X11" s="58">
        <v>0</v>
      </c>
      <c r="Y11" s="58">
        <v>0</v>
      </c>
      <c r="Z11" s="58">
        <v>0</v>
      </c>
      <c r="AA11" s="58">
        <v>0</v>
      </c>
      <c r="AE11" s="58">
        <v>2008</v>
      </c>
      <c r="AF11" s="113">
        <f>'Future Type Share'!C9*'Future Type Share'!M9*('Future EndUse Share'!Z19+'Future EndUse Share'!AB19+'Future EndUse Share'!AC19+'Future EndUse Share'!AD19)</f>
        <v>9474.6990403071013</v>
      </c>
      <c r="AG11" s="113">
        <f>'Future Type Share'!C9*'Future Type Share'!K9*0.5*('Future EndUse Share'!Z19+'Future EndUse Share'!AB19+'Future EndUse Share'!AC19+'Future EndUse Share'!AD19)</f>
        <v>0</v>
      </c>
      <c r="AH11" s="113">
        <f>'Future Type Share'!C9*'Future Type Share'!I9*('Future EndUse Share'!O19+'Future EndUse Share'!Q19+'Future EndUse Share'!R19+'Future EndUse Share'!S19)</f>
        <v>9130.4784686609692</v>
      </c>
      <c r="AI11" s="113">
        <f t="shared" si="3"/>
        <v>0</v>
      </c>
      <c r="AJ11" s="113">
        <f t="shared" si="4"/>
        <v>0</v>
      </c>
      <c r="AK11" s="113">
        <f t="shared" si="4"/>
        <v>0</v>
      </c>
      <c r="AO11" s="58">
        <v>2008</v>
      </c>
      <c r="AP11" s="113">
        <f>'Future Type Share'!C9*'Future Type Share'!M9*'Future EndUse Share'!AE19</f>
        <v>940.83097577423871</v>
      </c>
      <c r="AQ11" s="113">
        <f>'Future Type Share'!C9*'Future Type Share'!K9*0.5*('Future EndUse Share'!T19)</f>
        <v>0</v>
      </c>
      <c r="AR11" s="113">
        <f>'Future Type Share'!C9*'Future Type Share'!I9*('Future EndUse Share'!T19)</f>
        <v>10.851531339031338</v>
      </c>
      <c r="AS11" s="113">
        <f t="shared" ref="AS11:AS14" si="6">TREND(AS$4:AS$5,$AO$4:$AO$5,$AO11)</f>
        <v>0</v>
      </c>
      <c r="AT11" s="113">
        <f t="shared" si="5"/>
        <v>0</v>
      </c>
      <c r="AU11" s="113">
        <f t="shared" si="5"/>
        <v>0</v>
      </c>
    </row>
    <row r="12" spans="1:47">
      <c r="A12" s="58">
        <v>2009</v>
      </c>
      <c r="B12" s="113">
        <f>'Future Type Share'!C10*'Future Type Share'!M10*'Future EndUse Share'!AA20</f>
        <v>2086.3738412698417</v>
      </c>
      <c r="C12" s="58">
        <f>'Future Type Share'!C10*'Future Type Share'!I10*0.5*'Future EndUse Share'!P20</f>
        <v>0</v>
      </c>
      <c r="D12" s="58">
        <f>'Future Type Share'!H10*'Future EndUse Share'!P20</f>
        <v>0</v>
      </c>
      <c r="E12" s="113">
        <f t="shared" si="0"/>
        <v>0</v>
      </c>
      <c r="F12" s="113">
        <f t="shared" si="1"/>
        <v>0</v>
      </c>
      <c r="G12" s="113">
        <f t="shared" si="1"/>
        <v>0</v>
      </c>
      <c r="K12" s="512">
        <v>2009</v>
      </c>
      <c r="L12" s="513">
        <f>'Future Type Share'!C10*'Future Type Share'!M10*'Future EndUse Share'!Y20</f>
        <v>6489.2292063492068</v>
      </c>
      <c r="M12" s="513">
        <f>'Future Type Share'!C10*'Future Type Share'!I10*0.5*'Future EndUse Share'!N20</f>
        <v>0</v>
      </c>
      <c r="N12" s="513">
        <f>'Future Type Share'!H10*'Future EndUse Share'!N20</f>
        <v>0</v>
      </c>
      <c r="O12" s="513">
        <f t="shared" si="2"/>
        <v>0</v>
      </c>
      <c r="P12" s="512">
        <v>0</v>
      </c>
      <c r="Q12" s="512">
        <v>0</v>
      </c>
      <c r="U12" s="58">
        <v>2009</v>
      </c>
      <c r="V12" s="58">
        <v>0</v>
      </c>
      <c r="W12" s="58">
        <v>0</v>
      </c>
      <c r="X12" s="58">
        <v>0</v>
      </c>
      <c r="Y12" s="58">
        <v>0</v>
      </c>
      <c r="Z12" s="58">
        <v>0</v>
      </c>
      <c r="AA12" s="58">
        <v>0</v>
      </c>
      <c r="AE12" s="58">
        <v>2009</v>
      </c>
      <c r="AF12" s="113">
        <f>'Future Type Share'!C10*'Future Type Share'!M10*('Future EndUse Share'!Z20+'Future EndUse Share'!AB20+'Future EndUse Share'!AC20+'Future EndUse Share'!AD20)</f>
        <v>9718.4391111111127</v>
      </c>
      <c r="AG12" s="113">
        <f>'Future Type Share'!C10*'Future Type Share'!K10*0.5*('Future EndUse Share'!Z20+'Future EndUse Share'!AB20+'Future EndUse Share'!AC20+'Future EndUse Share'!AD20)</f>
        <v>0</v>
      </c>
      <c r="AH12" s="113">
        <f>'Future Type Share'!C10*'Future Type Share'!I10*('Future EndUse Share'!O20+'Future EndUse Share'!Q20+'Future EndUse Share'!R20+'Future EndUse Share'!S20)</f>
        <v>9129.7221374045803</v>
      </c>
      <c r="AI12" s="113">
        <f t="shared" si="3"/>
        <v>0</v>
      </c>
      <c r="AJ12" s="113">
        <f t="shared" si="4"/>
        <v>0</v>
      </c>
      <c r="AK12" s="113">
        <f t="shared" si="4"/>
        <v>0</v>
      </c>
      <c r="AO12" s="58">
        <v>2009</v>
      </c>
      <c r="AP12" s="113">
        <f>'Future Type Share'!C10*'Future Type Share'!M10*'Future EndUse Share'!AE20</f>
        <v>1114.9150476190478</v>
      </c>
      <c r="AQ12" s="113">
        <f>'Future Type Share'!C10*'Future Type Share'!K10*0.5*('Future EndUse Share'!T20)</f>
        <v>0</v>
      </c>
      <c r="AR12" s="113">
        <f>'Future Type Share'!C10*'Future Type Share'!I10*('Future EndUse Share'!T20)</f>
        <v>6.5367938931297713</v>
      </c>
      <c r="AS12" s="113">
        <f t="shared" si="6"/>
        <v>0</v>
      </c>
      <c r="AT12" s="113">
        <f t="shared" si="5"/>
        <v>0</v>
      </c>
      <c r="AU12" s="113">
        <f t="shared" si="5"/>
        <v>0</v>
      </c>
    </row>
    <row r="13" spans="1:47">
      <c r="A13" s="58">
        <v>2010</v>
      </c>
      <c r="B13" s="113">
        <f>'Future Type Share'!C11*'Future Type Share'!M11*'Future EndUse Share'!AA21</f>
        <v>2067.0811458436051</v>
      </c>
      <c r="C13" s="58">
        <f>'Future Type Share'!C11*'Future Type Share'!I11*0.5*'Future EndUse Share'!P21</f>
        <v>0</v>
      </c>
      <c r="D13" s="58">
        <f>'Future Type Share'!H11*'Future EndUse Share'!P21</f>
        <v>0</v>
      </c>
      <c r="E13" s="113">
        <f t="shared" si="0"/>
        <v>0</v>
      </c>
      <c r="F13" s="113">
        <f t="shared" si="1"/>
        <v>0</v>
      </c>
      <c r="G13" s="113">
        <f t="shared" si="1"/>
        <v>0</v>
      </c>
      <c r="K13" s="512">
        <v>2010</v>
      </c>
      <c r="L13" s="513">
        <f>'Future Type Share'!C11*'Future Type Share'!M11*'Future EndUse Share'!Y21</f>
        <v>6595.108761463367</v>
      </c>
      <c r="M13" s="513">
        <f>'Future Type Share'!C11*'Future Type Share'!I11*0.5*'Future EndUse Share'!N21</f>
        <v>0</v>
      </c>
      <c r="N13" s="513">
        <f>'Future Type Share'!H11*'Future EndUse Share'!N21</f>
        <v>0</v>
      </c>
      <c r="O13" s="513">
        <f t="shared" si="2"/>
        <v>0</v>
      </c>
      <c r="P13" s="512">
        <v>0</v>
      </c>
      <c r="Q13" s="512">
        <v>0</v>
      </c>
      <c r="U13" s="58">
        <v>2010</v>
      </c>
      <c r="V13" s="58">
        <v>0</v>
      </c>
      <c r="W13" s="58">
        <v>0</v>
      </c>
      <c r="X13" s="58">
        <v>0</v>
      </c>
      <c r="Y13" s="58">
        <v>0</v>
      </c>
      <c r="Z13" s="58">
        <v>0</v>
      </c>
      <c r="AA13" s="58">
        <v>0</v>
      </c>
      <c r="AE13" s="58">
        <v>2010</v>
      </c>
      <c r="AF13" s="113">
        <f>'Future Type Share'!C11*'Future Type Share'!M11*('Future EndUse Share'!Z21+'Future EndUse Share'!AB21+'Future EndUse Share'!AC21+'Future EndUse Share'!AD21)</f>
        <v>9324.6429099694305</v>
      </c>
      <c r="AG13" s="113">
        <f>'Future Type Share'!C11*'Future Type Share'!K11*0.5*('Future EndUse Share'!Z21+'Future EndUse Share'!AB21+'Future EndUse Share'!AC21+'Future EndUse Share'!AD21)</f>
        <v>0</v>
      </c>
      <c r="AH13" s="113">
        <f>'Future Type Share'!C11*'Future Type Share'!I11*('Future EndUse Share'!O21+'Future EndUse Share'!Q21+'Future EndUse Share'!R21+'Future EndUse Share'!S21)</f>
        <v>9476.4109374999989</v>
      </c>
      <c r="AI13" s="113">
        <f t="shared" si="3"/>
        <v>0</v>
      </c>
      <c r="AJ13" s="113">
        <f t="shared" si="4"/>
        <v>0</v>
      </c>
      <c r="AK13" s="113">
        <f t="shared" si="4"/>
        <v>0</v>
      </c>
      <c r="AO13" s="58">
        <v>2010</v>
      </c>
      <c r="AP13" s="113">
        <f>'Future Type Share'!C11*'Future Type Share'!M11*'Future EndUse Share'!AE21</f>
        <v>1262.2671827235974</v>
      </c>
      <c r="AQ13" s="113">
        <f>'Future Type Share'!C11*'Future Type Share'!K11*0.5*('Future EndUse Share'!T21)</f>
        <v>0</v>
      </c>
      <c r="AR13" s="113">
        <f>'Future Type Share'!C11*'Future Type Share'!I11*('Future EndUse Share'!T21)</f>
        <v>3.3667968749999999</v>
      </c>
      <c r="AS13" s="113">
        <f t="shared" si="6"/>
        <v>0</v>
      </c>
      <c r="AT13" s="113">
        <f t="shared" si="5"/>
        <v>0</v>
      </c>
      <c r="AU13" s="113">
        <f t="shared" si="5"/>
        <v>0</v>
      </c>
    </row>
    <row r="14" spans="1:47">
      <c r="A14" s="58">
        <v>2011</v>
      </c>
      <c r="B14" s="113">
        <f>'Future Type Share'!C12*'Future Type Share'!M12*'Future EndUse Share'!AA22</f>
        <v>2105.3912184772653</v>
      </c>
      <c r="C14" s="58">
        <f>'Future Type Share'!C12*'Future Type Share'!I12*0.5*'Future EndUse Share'!P22</f>
        <v>0</v>
      </c>
      <c r="D14" s="58">
        <f>'Future Type Share'!H12*'Future EndUse Share'!P22</f>
        <v>0</v>
      </c>
      <c r="E14" s="113">
        <f t="shared" si="0"/>
        <v>0</v>
      </c>
      <c r="F14" s="113">
        <f t="shared" si="1"/>
        <v>0</v>
      </c>
      <c r="G14" s="113">
        <f t="shared" si="1"/>
        <v>0</v>
      </c>
      <c r="K14" s="512">
        <v>2011</v>
      </c>
      <c r="L14" s="513">
        <f>'Future Type Share'!C12*'Future Type Share'!M12*'Future EndUse Share'!Y22</f>
        <v>6878.821308645548</v>
      </c>
      <c r="M14" s="513">
        <f>'Future Type Share'!C12*'Future Type Share'!I12*0.5*'Future EndUse Share'!N22</f>
        <v>0</v>
      </c>
      <c r="N14" s="513">
        <f>'Future Type Share'!H12*'Future EndUse Share'!N22</f>
        <v>0</v>
      </c>
      <c r="O14" s="513">
        <f t="shared" si="2"/>
        <v>0</v>
      </c>
      <c r="P14" s="512">
        <v>0</v>
      </c>
      <c r="Q14" s="512">
        <v>0</v>
      </c>
      <c r="U14" s="58">
        <v>2011</v>
      </c>
      <c r="V14" s="58">
        <v>0</v>
      </c>
      <c r="W14" s="58">
        <v>0</v>
      </c>
      <c r="X14" s="58">
        <v>0</v>
      </c>
      <c r="Y14" s="58">
        <v>0</v>
      </c>
      <c r="Z14" s="58">
        <v>0</v>
      </c>
      <c r="AA14" s="58">
        <v>0</v>
      </c>
      <c r="AE14" s="58">
        <v>2011</v>
      </c>
      <c r="AF14" s="113">
        <f>'Future Type Share'!C12*'Future Type Share'!M12*('Future EndUse Share'!Z22+'Future EndUse Share'!AB22+'Future EndUse Share'!AC22+'Future EndUse Share'!AD22)</f>
        <v>9294.6717585225924</v>
      </c>
      <c r="AG14" s="113">
        <f>'Future Type Share'!C12*'Future Type Share'!K12*0.5*('Future EndUse Share'!Z22+'Future EndUse Share'!AB22+'Future EndUse Share'!AC22+'Future EndUse Share'!AD22)</f>
        <v>0</v>
      </c>
      <c r="AH14" s="113">
        <f>'Future Type Share'!C12*'Future Type Share'!I12*('Future EndUse Share'!O22+'Future EndUse Share'!Q22+'Future EndUse Share'!R22+'Future EndUse Share'!S22)</f>
        <v>9320.6589446098878</v>
      </c>
      <c r="AI14" s="113">
        <f t="shared" si="3"/>
        <v>0</v>
      </c>
      <c r="AJ14" s="113">
        <f t="shared" si="4"/>
        <v>0</v>
      </c>
      <c r="AK14" s="113">
        <f t="shared" si="4"/>
        <v>0</v>
      </c>
      <c r="AO14" s="58">
        <v>2011</v>
      </c>
      <c r="AP14" s="113">
        <f>'Future Type Share'!C12*'Future Type Share'!M12*'Future EndUse Share'!AE22</f>
        <v>1532.235714354598</v>
      </c>
      <c r="AQ14" s="113">
        <f>'Future Type Share'!C12*'Future Type Share'!K12*0.5*('Future EndUse Share'!T22)</f>
        <v>0</v>
      </c>
      <c r="AR14" s="113">
        <f>'Future Type Share'!C12*'Future Type Share'!I12*('Future EndUse Share'!T22)</f>
        <v>2.2210553901131629</v>
      </c>
      <c r="AS14" s="113">
        <f t="shared" si="6"/>
        <v>0</v>
      </c>
      <c r="AT14" s="113">
        <f t="shared" si="5"/>
        <v>0</v>
      </c>
      <c r="AU14" s="113">
        <f t="shared" si="5"/>
        <v>0</v>
      </c>
    </row>
    <row r="15" spans="1:47">
      <c r="A15" s="58">
        <v>2012</v>
      </c>
      <c r="B15" s="113">
        <f>'Future Type Share'!C13*'Future Type Share'!M13*'Future EndUse Share'!AA23</f>
        <v>2107.8414946921444</v>
      </c>
      <c r="C15" s="58">
        <f>'Future Type Share'!C13*'Future Type Share'!I13*0.5*'Future EndUse Share'!P23</f>
        <v>0</v>
      </c>
      <c r="D15" s="58">
        <f>'Future Type Share'!H13*'Future EndUse Share'!P23</f>
        <v>0</v>
      </c>
      <c r="E15" s="113">
        <f t="shared" ref="E15:E24" si="7">C15</f>
        <v>0</v>
      </c>
      <c r="F15" s="58">
        <v>0</v>
      </c>
      <c r="G15" s="58">
        <v>0</v>
      </c>
      <c r="K15" s="512">
        <v>2012</v>
      </c>
      <c r="L15" s="513">
        <f>'Future Type Share'!C13*'Future Type Share'!M13*'Future EndUse Share'!Y23</f>
        <v>7029.9568690728938</v>
      </c>
      <c r="M15" s="513">
        <f>'Future Type Share'!C13*'Future Type Share'!I13*0.5*'Future EndUse Share'!N23</f>
        <v>0</v>
      </c>
      <c r="N15" s="513">
        <f>'Future Type Share'!H13*'Future EndUse Share'!N23</f>
        <v>0</v>
      </c>
      <c r="O15" s="513">
        <f t="shared" si="2"/>
        <v>0</v>
      </c>
      <c r="P15" s="512">
        <v>0</v>
      </c>
      <c r="Q15" s="512">
        <v>0</v>
      </c>
      <c r="U15" s="58">
        <v>2012</v>
      </c>
      <c r="V15" s="58">
        <v>0</v>
      </c>
      <c r="W15" s="58">
        <v>0</v>
      </c>
      <c r="X15" s="58">
        <v>0</v>
      </c>
      <c r="Y15" s="58">
        <v>0</v>
      </c>
      <c r="Z15" s="58">
        <v>0</v>
      </c>
      <c r="AA15" s="58">
        <v>0</v>
      </c>
      <c r="AE15" s="58">
        <v>2012</v>
      </c>
      <c r="AF15" s="113">
        <f>'Future Type Share'!C13*'Future Type Share'!M13*('Future EndUse Share'!Z23+'Future EndUse Share'!AB23+'Future EndUse Share'!AC23+'Future EndUse Share'!AD23)</f>
        <v>9177.8931748053783</v>
      </c>
      <c r="AG15" s="113">
        <f>'Future Type Share'!C13*'Future Type Share'!K13*0.5*('Future EndUse Share'!Z23+'Future EndUse Share'!AB23+'Future EndUse Share'!AC23+'Future EndUse Share'!AD23)</f>
        <v>0</v>
      </c>
      <c r="AH15" s="113">
        <f>'Future Type Share'!C13*'Future Type Share'!I13*('Future EndUse Share'!O23+'Future EndUse Share'!Q23+'Future EndUse Share'!R23+'Future EndUse Share'!S23)</f>
        <v>9090.44</v>
      </c>
      <c r="AI15" s="113">
        <f t="shared" ref="AI15:AI24" si="8">AG15</f>
        <v>0</v>
      </c>
      <c r="AJ15" s="58">
        <v>0</v>
      </c>
      <c r="AK15" s="58">
        <v>0</v>
      </c>
      <c r="AO15" s="58">
        <v>2012</v>
      </c>
      <c r="AP15" s="113">
        <f>'Future Type Share'!C13*'Future Type Share'!M13*'Future EndUse Share'!AE23</f>
        <v>1915.9591847133756</v>
      </c>
      <c r="AQ15" s="113">
        <f>'Future Type Share'!C13*'Future Type Share'!K13*0.5*('Future EndUse Share'!T23)</f>
        <v>0</v>
      </c>
      <c r="AR15" s="113">
        <f>'Future Type Share'!C13*'Future Type Share'!I13*('Future EndUse Share'!T23)</f>
        <v>1.1182728502890886</v>
      </c>
      <c r="AS15" s="113">
        <f t="shared" ref="AS15:AS24" si="9">AQ15</f>
        <v>0</v>
      </c>
      <c r="AT15" s="58">
        <v>0</v>
      </c>
      <c r="AU15" s="58">
        <v>0</v>
      </c>
    </row>
    <row r="16" spans="1:47">
      <c r="A16" s="58">
        <v>2013</v>
      </c>
      <c r="B16" s="113">
        <f>'Future Type Share'!C14*'Future Type Share'!M14*'Future EndUse Share'!AA24</f>
        <v>1776.9996319138522</v>
      </c>
      <c r="C16" s="58">
        <f>'Future Type Share'!C14*'Future Type Share'!I14*0.5*'Future EndUse Share'!P24</f>
        <v>0</v>
      </c>
      <c r="D16" s="58">
        <f>'Future Type Share'!H14*'Future EndUse Share'!P24</f>
        <v>0</v>
      </c>
      <c r="E16" s="113">
        <f t="shared" si="7"/>
        <v>0</v>
      </c>
      <c r="F16" s="58">
        <v>0</v>
      </c>
      <c r="G16" s="58">
        <v>0</v>
      </c>
      <c r="K16" s="512">
        <v>2013</v>
      </c>
      <c r="L16" s="513">
        <f>'Future Type Share'!C14*'Future Type Share'!M14*'Future EndUse Share'!Y24</f>
        <v>6556.1235085658345</v>
      </c>
      <c r="M16" s="513">
        <f>'Future Type Share'!C14*'Future Type Share'!I14*0.5*'Future EndUse Share'!N24</f>
        <v>0</v>
      </c>
      <c r="N16" s="513">
        <f>'Future Type Share'!H14*'Future EndUse Share'!N24</f>
        <v>0</v>
      </c>
      <c r="O16" s="513">
        <f t="shared" si="2"/>
        <v>0</v>
      </c>
      <c r="P16" s="512">
        <v>0</v>
      </c>
      <c r="Q16" s="512">
        <v>0</v>
      </c>
      <c r="U16" s="58">
        <v>2013</v>
      </c>
      <c r="V16" s="58">
        <v>0</v>
      </c>
      <c r="W16" s="58">
        <v>0</v>
      </c>
      <c r="X16" s="58">
        <v>0</v>
      </c>
      <c r="Y16" s="58">
        <v>0</v>
      </c>
      <c r="Z16" s="58">
        <v>0</v>
      </c>
      <c r="AA16" s="58">
        <v>0</v>
      </c>
      <c r="AE16" s="58">
        <v>2013</v>
      </c>
      <c r="AF16" s="113">
        <f>'Future Type Share'!C14*'Future Type Share'!M14*('Future EndUse Share'!Z24+'Future EndUse Share'!AB24+'Future EndUse Share'!AC24+'Future EndUse Share'!AD24)</f>
        <v>9105.9378149779732</v>
      </c>
      <c r="AG16" s="113">
        <f>'Future Type Share'!C14*'Future Type Share'!K14*0.5*('Future EndUse Share'!Z24+'Future EndUse Share'!AB24+'Future EndUse Share'!AC24+'Future EndUse Share'!AD24)</f>
        <v>0</v>
      </c>
      <c r="AH16" s="113">
        <f>'Future Type Share'!C14*'Future Type Share'!I14*('Future EndUse Share'!O24+'Future EndUse Share'!Q24+'Future EndUse Share'!R24+'Future EndUse Share'!S24)</f>
        <v>9114.21756545477</v>
      </c>
      <c r="AI16" s="113">
        <f t="shared" si="8"/>
        <v>0</v>
      </c>
      <c r="AJ16" s="58">
        <v>0</v>
      </c>
      <c r="AK16" s="58">
        <v>0</v>
      </c>
      <c r="AO16" s="58">
        <v>2013</v>
      </c>
      <c r="AP16" s="113">
        <f>'Future Type Share'!C14*'Future Type Share'!M14*'Future EndUse Share'!AE24</f>
        <v>1934.4072834067547</v>
      </c>
      <c r="AQ16" s="113">
        <f>'Future Type Share'!C14*'Future Type Share'!K14*0.5*('Future EndUse Share'!T24)</f>
        <v>0</v>
      </c>
      <c r="AR16" s="113">
        <f>'Future Type Share'!C14*'Future Type Share'!I14*('Future EndUse Share'!T24)</f>
        <v>2.2624345452289365</v>
      </c>
      <c r="AS16" s="113">
        <f t="shared" si="9"/>
        <v>0</v>
      </c>
      <c r="AT16" s="58">
        <v>0</v>
      </c>
      <c r="AU16" s="58">
        <v>0</v>
      </c>
    </row>
    <row r="17" spans="1:47">
      <c r="A17" s="58">
        <v>2014</v>
      </c>
      <c r="B17" s="113">
        <f>'Future Type Share'!C15*'Future Type Share'!M15*'Future EndUse Share'!AA25</f>
        <v>1671.2346522728285</v>
      </c>
      <c r="C17" s="58">
        <f>'Future Type Share'!C15*'Future Type Share'!I15*0.5*'Future EndUse Share'!P25</f>
        <v>0</v>
      </c>
      <c r="D17" s="58">
        <f>'Future Type Share'!H15*'Future EndUse Share'!P25</f>
        <v>0</v>
      </c>
      <c r="E17" s="113">
        <f t="shared" si="7"/>
        <v>0</v>
      </c>
      <c r="F17" s="58">
        <v>0</v>
      </c>
      <c r="G17" s="58">
        <v>0</v>
      </c>
      <c r="K17" s="512">
        <v>2014</v>
      </c>
      <c r="L17" s="513">
        <f>'Future Type Share'!C15*'Future Type Share'!M15*'Future EndUse Share'!Y25</f>
        <v>7938.3645982959351</v>
      </c>
      <c r="M17" s="513">
        <f>'Future Type Share'!C15*'Future Type Share'!I15*0.5*'Future EndUse Share'!N25</f>
        <v>0</v>
      </c>
      <c r="N17" s="513">
        <f>'Future Type Share'!H15*'Future EndUse Share'!N25</f>
        <v>0</v>
      </c>
      <c r="O17" s="513">
        <f t="shared" si="2"/>
        <v>0</v>
      </c>
      <c r="P17" s="512">
        <v>0</v>
      </c>
      <c r="Q17" s="512">
        <v>0</v>
      </c>
      <c r="U17" s="58">
        <v>2014</v>
      </c>
      <c r="V17" s="58">
        <v>0</v>
      </c>
      <c r="W17" s="58">
        <v>0</v>
      </c>
      <c r="X17" s="58">
        <v>0</v>
      </c>
      <c r="Y17" s="58">
        <v>0</v>
      </c>
      <c r="Z17" s="58">
        <v>0</v>
      </c>
      <c r="AA17" s="58">
        <v>0</v>
      </c>
      <c r="AE17" s="58">
        <v>2014</v>
      </c>
      <c r="AF17" s="113">
        <f>'Future Type Share'!C15*'Future Type Share'!M15*('Future EndUse Share'!Z25+'Future EndUse Share'!AB25+'Future EndUse Share'!AC25+'Future EndUse Share'!AD25)</f>
        <v>9612.4609537404631</v>
      </c>
      <c r="AG17" s="113">
        <f>'Future Type Share'!C15*'Future Type Share'!K15*0.5*('Future EndUse Share'!Z25+'Future EndUse Share'!AB25+'Future EndUse Share'!AC25+'Future EndUse Share'!AD25)</f>
        <v>0</v>
      </c>
      <c r="AH17" s="113">
        <f>'Future Type Share'!C15*'Future Type Share'!I15*('Future EndUse Share'!O25+'Future EndUse Share'!Q25+'Future EndUse Share'!R25+'Future EndUse Share'!S25)</f>
        <v>9158.7645308080191</v>
      </c>
      <c r="AI17" s="113">
        <f t="shared" si="8"/>
        <v>0</v>
      </c>
      <c r="AJ17" s="58">
        <v>0</v>
      </c>
      <c r="AK17" s="58">
        <v>0</v>
      </c>
      <c r="AO17" s="58">
        <v>2014</v>
      </c>
      <c r="AP17" s="113">
        <f>'Future Type Share'!C15*'Future Type Share'!M15*'Future EndUse Share'!AE25</f>
        <v>2162.4936967480035</v>
      </c>
      <c r="AQ17" s="113">
        <f>'Future Type Share'!C15*'Future Type Share'!K15*0.5*('Future EndUse Share'!T25)</f>
        <v>0</v>
      </c>
      <c r="AR17" s="113">
        <f>'Future Type Share'!C15*'Future Type Share'!I15*('Future EndUse Share'!T25)</f>
        <v>4.5083753535850448</v>
      </c>
      <c r="AS17" s="113">
        <f t="shared" si="9"/>
        <v>0</v>
      </c>
      <c r="AT17" s="58">
        <v>0</v>
      </c>
      <c r="AU17" s="58">
        <v>0</v>
      </c>
    </row>
    <row r="18" spans="1:47">
      <c r="A18" s="58">
        <v>2015</v>
      </c>
      <c r="B18" s="113">
        <f>'Future Type Share'!C16*'Future Type Share'!M16*'Future EndUse Share'!AA26</f>
        <v>1429.1788856304984</v>
      </c>
      <c r="C18" s="58">
        <f>'Future Type Share'!C16*'Future Type Share'!I16*0.5*'Future EndUse Share'!P26</f>
        <v>0</v>
      </c>
      <c r="D18" s="58">
        <f>'Future Type Share'!H16*'Future EndUse Share'!P26</f>
        <v>0</v>
      </c>
      <c r="E18" s="113">
        <f t="shared" si="7"/>
        <v>0</v>
      </c>
      <c r="F18" s="58">
        <v>0</v>
      </c>
      <c r="G18" s="58">
        <v>0</v>
      </c>
      <c r="K18" s="512">
        <v>2015</v>
      </c>
      <c r="L18" s="513">
        <f>'Future Type Share'!C16*'Future Type Share'!M16*'Future EndUse Share'!Y26</f>
        <v>7666.1155425219931</v>
      </c>
      <c r="M18" s="513">
        <f>'Future Type Share'!C16*'Future Type Share'!I16*0.5*'Future EndUse Share'!N26</f>
        <v>0</v>
      </c>
      <c r="N18" s="513">
        <f>'Future Type Share'!H16*'Future EndUse Share'!N26</f>
        <v>0</v>
      </c>
      <c r="O18" s="513">
        <f t="shared" si="2"/>
        <v>0</v>
      </c>
      <c r="P18" s="512">
        <v>0</v>
      </c>
      <c r="Q18" s="512">
        <v>0</v>
      </c>
      <c r="U18" s="58">
        <v>2015</v>
      </c>
      <c r="V18" s="58">
        <v>0</v>
      </c>
      <c r="W18" s="58">
        <v>0</v>
      </c>
      <c r="X18" s="58">
        <v>0</v>
      </c>
      <c r="Y18" s="58">
        <v>0</v>
      </c>
      <c r="Z18" s="58">
        <v>0</v>
      </c>
      <c r="AA18" s="58">
        <v>0</v>
      </c>
      <c r="AE18" s="58">
        <v>2015</v>
      </c>
      <c r="AF18" s="113">
        <f>'Future Type Share'!C16*'Future Type Share'!M16*('Future EndUse Share'!Z26+'Future EndUse Share'!AB26+'Future EndUse Share'!AC26+'Future EndUse Share'!AD26)</f>
        <v>9193.4313782991176</v>
      </c>
      <c r="AG18" s="113">
        <f>'Future Type Share'!C16*'Future Type Share'!K16*0.5*('Future EndUse Share'!Z26+'Future EndUse Share'!AB26+'Future EndUse Share'!AC26+'Future EndUse Share'!AD26)</f>
        <v>0</v>
      </c>
      <c r="AH18" s="113">
        <f>'Future Type Share'!C16*'Future Type Share'!I16*('Future EndUse Share'!O26+'Future EndUse Share'!Q26+'Future EndUse Share'!R26+'Future EndUse Share'!S26)</f>
        <v>8762.1233178654275</v>
      </c>
      <c r="AI18" s="113">
        <f t="shared" si="8"/>
        <v>0</v>
      </c>
      <c r="AJ18" s="58">
        <v>0</v>
      </c>
      <c r="AK18" s="58">
        <v>0</v>
      </c>
      <c r="AO18" s="58">
        <v>2015</v>
      </c>
      <c r="AP18" s="113">
        <f>'Future Type Share'!C16*'Future Type Share'!M16*'Future EndUse Share'!AE26</f>
        <v>2179.021407624633</v>
      </c>
      <c r="AQ18" s="113">
        <f>'Future Type Share'!C16*'Future Type Share'!K16*0.5*('Future EndUse Share'!T26)</f>
        <v>0</v>
      </c>
      <c r="AR18" s="113">
        <f>'Future Type Share'!C16*'Future Type Share'!I16*('Future EndUse Share'!T26)</f>
        <v>10.176682134570765</v>
      </c>
      <c r="AS18" s="113">
        <f t="shared" si="9"/>
        <v>0</v>
      </c>
      <c r="AT18" s="58">
        <v>0</v>
      </c>
      <c r="AU18" s="58">
        <v>0</v>
      </c>
    </row>
    <row r="19" spans="1:47">
      <c r="A19" s="58">
        <v>2016</v>
      </c>
      <c r="B19" s="113">
        <f>'Future Type Share'!C17*'Future Type Share'!M17*'Future EndUse Share'!AA27</f>
        <v>1318.7127744421543</v>
      </c>
      <c r="C19" s="58">
        <f>'Future Type Share'!C17*'Future Type Share'!I17*0.5*'Future EndUse Share'!P27</f>
        <v>0</v>
      </c>
      <c r="D19" s="58">
        <f>'Future Type Share'!H17*'Future EndUse Share'!P27</f>
        <v>0</v>
      </c>
      <c r="E19" s="113">
        <f t="shared" si="7"/>
        <v>0</v>
      </c>
      <c r="F19" s="58">
        <v>0</v>
      </c>
      <c r="G19" s="58">
        <v>0</v>
      </c>
      <c r="K19" s="512">
        <v>2016</v>
      </c>
      <c r="L19" s="513">
        <f>'Future Type Share'!C17*'Future Type Share'!M17*'Future EndUse Share'!Y27</f>
        <v>7959.134460973205</v>
      </c>
      <c r="M19" s="513">
        <f>'Future Type Share'!C17*'Future Type Share'!I17*0.5*'Future EndUse Share'!N27</f>
        <v>0</v>
      </c>
      <c r="N19" s="513">
        <f>'Future Type Share'!H17*'Future EndUse Share'!N27</f>
        <v>0</v>
      </c>
      <c r="O19" s="513">
        <f t="shared" si="2"/>
        <v>0</v>
      </c>
      <c r="P19" s="512">
        <v>0</v>
      </c>
      <c r="Q19" s="512">
        <v>0</v>
      </c>
      <c r="U19" s="58">
        <v>2016</v>
      </c>
      <c r="V19" s="58">
        <v>0</v>
      </c>
      <c r="W19" s="58">
        <v>0</v>
      </c>
      <c r="X19" s="58">
        <v>0</v>
      </c>
      <c r="Y19" s="58">
        <v>0</v>
      </c>
      <c r="Z19" s="58">
        <v>0</v>
      </c>
      <c r="AA19" s="58">
        <v>0</v>
      </c>
      <c r="AE19" s="58">
        <v>2016</v>
      </c>
      <c r="AF19" s="113">
        <f>'Future Type Share'!C17*'Future Type Share'!M17*('Future EndUse Share'!Z27+'Future EndUse Share'!AB27+'Future EndUse Share'!AC27+'Future EndUse Share'!AD27)</f>
        <v>9724.4308943453707</v>
      </c>
      <c r="AG19" s="113">
        <f>'Future Type Share'!C17*'Future Type Share'!K17*0.5*('Future EndUse Share'!Z27+'Future EndUse Share'!AB27+'Future EndUse Share'!AC27+'Future EndUse Share'!AD27)</f>
        <v>0</v>
      </c>
      <c r="AH19" s="113">
        <f>'Future Type Share'!C17*'Future Type Share'!I17*('Future EndUse Share'!O27+'Future EndUse Share'!Q27+'Future EndUse Share'!R27+'Future EndUse Share'!S27)</f>
        <v>9125.4312079304855</v>
      </c>
      <c r="AI19" s="113">
        <f t="shared" si="8"/>
        <v>0</v>
      </c>
      <c r="AJ19" s="58">
        <v>0</v>
      </c>
      <c r="AK19" s="58">
        <v>0</v>
      </c>
      <c r="AO19" s="58">
        <v>2016</v>
      </c>
      <c r="AP19" s="113">
        <f>'Future Type Share'!C17*'Future Type Share'!M17*'Future EndUse Share'!AE27</f>
        <v>2339.065588314365</v>
      </c>
      <c r="AQ19" s="113">
        <f>'Future Type Share'!C17*'Future Type Share'!K17*0.5*('Future EndUse Share'!T27)</f>
        <v>0</v>
      </c>
      <c r="AR19" s="113">
        <f>'Future Type Share'!C17*'Future Type Share'!I17*('Future EndUse Share'!T27)</f>
        <v>21.268792069514134</v>
      </c>
      <c r="AS19" s="113">
        <f t="shared" si="9"/>
        <v>0</v>
      </c>
      <c r="AT19" s="58">
        <v>0</v>
      </c>
      <c r="AU19" s="58">
        <v>0</v>
      </c>
    </row>
    <row r="20" spans="1:47">
      <c r="A20">
        <v>2017</v>
      </c>
      <c r="B20" s="113">
        <f>'Future Type Share'!C18*'Future Type Share'!M18*'Future EndUse Share'!AA28</f>
        <v>1181.637544018879</v>
      </c>
      <c r="C20" s="58">
        <f>'Future Type Share'!C18*'Future Type Share'!I18*0.5*'Future EndUse Share'!P28</f>
        <v>0</v>
      </c>
      <c r="D20" s="58">
        <f>'Future Type Share'!H18*'Future EndUse Share'!P28</f>
        <v>0</v>
      </c>
      <c r="E20" s="113">
        <f t="shared" si="7"/>
        <v>0</v>
      </c>
      <c r="F20" s="58">
        <v>0</v>
      </c>
      <c r="G20" s="58">
        <v>0</v>
      </c>
      <c r="K20">
        <v>2017</v>
      </c>
      <c r="L20" s="513">
        <f>'Future Type Share'!C18*'Future Type Share'!M18*'Future EndUse Share'!Y28</f>
        <v>7945.0596504810364</v>
      </c>
      <c r="M20" s="513">
        <f>'Future Type Share'!C18*'Future Type Share'!I18*0.5*'Future EndUse Share'!N28</f>
        <v>0</v>
      </c>
      <c r="N20" s="513">
        <f>'Future Type Share'!H18*'Future EndUse Share'!N28</f>
        <v>0</v>
      </c>
      <c r="O20" s="513">
        <f t="shared" si="2"/>
        <v>0</v>
      </c>
      <c r="P20" s="512">
        <v>0</v>
      </c>
      <c r="Q20" s="512">
        <v>0</v>
      </c>
      <c r="U20">
        <v>2017</v>
      </c>
      <c r="V20" s="56">
        <f t="shared" ref="V20:V53" si="10">V19</f>
        <v>0</v>
      </c>
      <c r="W20" s="56">
        <f>W19</f>
        <v>0</v>
      </c>
      <c r="X20" s="56">
        <f>X19</f>
        <v>0</v>
      </c>
      <c r="Y20" s="56">
        <f>Y19</f>
        <v>0</v>
      </c>
      <c r="Z20" s="56">
        <f>Z19</f>
        <v>0</v>
      </c>
      <c r="AA20" s="56">
        <f t="shared" ref="AA20:AA53" si="11">AA19</f>
        <v>0</v>
      </c>
      <c r="AE20">
        <v>2017</v>
      </c>
      <c r="AF20" s="113">
        <f>'Future Type Share'!C18*'Future Type Share'!M18*('Future EndUse Share'!Z28+'Future EndUse Share'!AB28+'Future EndUse Share'!AC28+'Future EndUse Share'!AD28)</f>
        <v>9828.8998333635936</v>
      </c>
      <c r="AG20" s="113">
        <f>'Future Type Share'!C18*'Future Type Share'!K18*0.5*('Future EndUse Share'!Z28+'Future EndUse Share'!AB28+'Future EndUse Share'!AC28+'Future EndUse Share'!AD28)</f>
        <v>0</v>
      </c>
      <c r="AH20" s="113">
        <f>'Future Type Share'!C18*'Future Type Share'!I18*('Future EndUse Share'!O28+'Future EndUse Share'!Q28+'Future EndUse Share'!R28+'Future EndUse Share'!S28)</f>
        <v>8846.7009759609391</v>
      </c>
      <c r="AI20" s="113">
        <f t="shared" si="8"/>
        <v>0</v>
      </c>
      <c r="AJ20" s="58">
        <v>0</v>
      </c>
      <c r="AK20" s="58">
        <v>0</v>
      </c>
      <c r="AO20">
        <v>2017</v>
      </c>
      <c r="AP20" s="113">
        <f>'Future Type Share'!C18*'Future Type Share'!M18*'Future EndUse Share'!AE28</f>
        <v>1003.4233570520972</v>
      </c>
      <c r="AQ20" s="113">
        <f>'Future Type Share'!C18*'Future Type Share'!K18*0.5*('Future EndUse Share'!T28)</f>
        <v>0</v>
      </c>
      <c r="AR20" s="113">
        <f>'Future Type Share'!C18*'Future Type Share'!I18*('Future EndUse Share'!T28)</f>
        <v>0</v>
      </c>
      <c r="AS20" s="113">
        <f t="shared" si="9"/>
        <v>0</v>
      </c>
      <c r="AT20" s="58">
        <v>0</v>
      </c>
      <c r="AU20" s="58">
        <v>0</v>
      </c>
    </row>
    <row r="21" spans="1:47">
      <c r="A21">
        <v>2018</v>
      </c>
      <c r="B21" s="113">
        <f>'Future Type Share'!C19*'Future Type Share'!M19*'Future EndUse Share'!AA29</f>
        <v>1194.800215568561</v>
      </c>
      <c r="C21" s="58">
        <f>'Future Type Share'!C19*'Future Type Share'!I19*0.5*'Future EndUse Share'!P29</f>
        <v>0</v>
      </c>
      <c r="D21" s="58">
        <f>'Future Type Share'!H19*'Future EndUse Share'!P29</f>
        <v>0</v>
      </c>
      <c r="E21" s="113">
        <f t="shared" si="7"/>
        <v>0</v>
      </c>
      <c r="F21" s="58">
        <v>0</v>
      </c>
      <c r="G21" s="58">
        <v>0</v>
      </c>
      <c r="K21">
        <v>2018</v>
      </c>
      <c r="L21" s="513">
        <f>'Future Type Share'!C19*'Future Type Share'!M19*'Future EndUse Share'!Y29</f>
        <v>7954.4097477045771</v>
      </c>
      <c r="M21" s="513">
        <f>'Future Type Share'!C19*'Future Type Share'!I19*0.5*'Future EndUse Share'!N29</f>
        <v>0</v>
      </c>
      <c r="N21" s="513">
        <f>'Future Type Share'!H19*'Future EndUse Share'!N29</f>
        <v>0</v>
      </c>
      <c r="O21" s="513">
        <f t="shared" si="2"/>
        <v>0</v>
      </c>
      <c r="P21" s="512">
        <v>0</v>
      </c>
      <c r="Q21" s="512">
        <v>0</v>
      </c>
      <c r="U21">
        <v>2018</v>
      </c>
      <c r="V21" s="56">
        <f t="shared" si="10"/>
        <v>0</v>
      </c>
      <c r="W21" s="56">
        <f t="shared" ref="W21:W53" si="12">W20</f>
        <v>0</v>
      </c>
      <c r="X21" s="56">
        <f t="shared" ref="X21:X53" si="13">X20</f>
        <v>0</v>
      </c>
      <c r="Y21" s="56">
        <f t="shared" ref="Y21:Y53" si="14">Y20</f>
        <v>0</v>
      </c>
      <c r="Z21" s="56">
        <f t="shared" ref="Z21:Z53" si="15">Z20</f>
        <v>0</v>
      </c>
      <c r="AA21" s="56">
        <f t="shared" si="11"/>
        <v>0</v>
      </c>
      <c r="AE21">
        <v>2018</v>
      </c>
      <c r="AF21" s="113">
        <f>'Future Type Share'!C19*'Future Type Share'!M19*('Future EndUse Share'!Z29+'Future EndUse Share'!AB29+'Future EndUse Share'!AC29+'Future EndUse Share'!AD29)</f>
        <v>9913.9615559479425</v>
      </c>
      <c r="AG21" s="113">
        <f>'Future Type Share'!C19*'Future Type Share'!K19*0.5*('Future EndUse Share'!Z29+'Future EndUse Share'!AB29+'Future EndUse Share'!AC29+'Future EndUse Share'!AD29)</f>
        <v>0</v>
      </c>
      <c r="AH21" s="113">
        <f>'Future Type Share'!C19*'Future Type Share'!I19*('Future EndUse Share'!O29+'Future EndUse Share'!Q29+'Future EndUse Share'!R29+'Future EndUse Share'!S29)</f>
        <v>8726.7587605895187</v>
      </c>
      <c r="AI21" s="113">
        <f t="shared" si="8"/>
        <v>0</v>
      </c>
      <c r="AJ21" s="58">
        <v>0</v>
      </c>
      <c r="AK21" s="58">
        <v>0</v>
      </c>
      <c r="AO21">
        <v>2018</v>
      </c>
      <c r="AP21" s="113">
        <f>'Future Type Share'!C19*'Future Type Share'!M19*'Future EndUse Share'!AE29</f>
        <v>1015.0339320956522</v>
      </c>
      <c r="AQ21" s="113">
        <f>'Future Type Share'!C19*'Future Type Share'!K19*0.5*('Future EndUse Share'!T29)</f>
        <v>0</v>
      </c>
      <c r="AR21" s="113">
        <f>'Future Type Share'!C19*'Future Type Share'!I19*('Future EndUse Share'!T29)</f>
        <v>0</v>
      </c>
      <c r="AS21" s="113">
        <f t="shared" si="9"/>
        <v>0</v>
      </c>
      <c r="AT21" s="58">
        <v>0</v>
      </c>
      <c r="AU21" s="58">
        <v>0</v>
      </c>
    </row>
    <row r="22" spans="1:47">
      <c r="A22">
        <v>2019</v>
      </c>
      <c r="B22" s="113">
        <f>'Future Type Share'!C20*'Future Type Share'!M20*'Future EndUse Share'!AA30</f>
        <v>1204.1327460410039</v>
      </c>
      <c r="C22" s="58">
        <f>'Future Type Share'!C20*'Future Type Share'!I20*0.5*'Future EndUse Share'!P30</f>
        <v>0</v>
      </c>
      <c r="D22" s="58">
        <f>'Future Type Share'!H20*'Future EndUse Share'!P30</f>
        <v>0</v>
      </c>
      <c r="E22" s="113">
        <f t="shared" si="7"/>
        <v>0</v>
      </c>
      <c r="F22" s="58">
        <v>0</v>
      </c>
      <c r="G22" s="58">
        <v>0</v>
      </c>
      <c r="K22">
        <v>2019</v>
      </c>
      <c r="L22" s="513">
        <f>'Future Type Share'!C20*'Future Type Share'!M20*'Future EndUse Share'!Y30</f>
        <v>7975.0712784604329</v>
      </c>
      <c r="M22" s="513">
        <f>'Future Type Share'!C20*'Future Type Share'!I20*0.5*'Future EndUse Share'!N30</f>
        <v>0</v>
      </c>
      <c r="N22" s="513">
        <f>'Future Type Share'!H20*'Future EndUse Share'!N30</f>
        <v>0</v>
      </c>
      <c r="O22" s="513">
        <f t="shared" si="2"/>
        <v>0</v>
      </c>
      <c r="P22" s="512">
        <v>0</v>
      </c>
      <c r="Q22" s="512">
        <v>0</v>
      </c>
      <c r="U22">
        <v>2019</v>
      </c>
      <c r="V22" s="56">
        <f t="shared" si="10"/>
        <v>0</v>
      </c>
      <c r="W22" s="56">
        <f t="shared" si="12"/>
        <v>0</v>
      </c>
      <c r="X22" s="56">
        <f t="shared" si="13"/>
        <v>0</v>
      </c>
      <c r="Y22" s="56">
        <f t="shared" si="14"/>
        <v>0</v>
      </c>
      <c r="Z22" s="56">
        <f t="shared" si="15"/>
        <v>0</v>
      </c>
      <c r="AA22" s="56">
        <f t="shared" si="11"/>
        <v>0</v>
      </c>
      <c r="AE22">
        <v>2019</v>
      </c>
      <c r="AF22" s="113">
        <f>'Future Type Share'!C20*'Future Type Share'!M20*('Future EndUse Share'!Z30+'Future EndUse Share'!AB30+'Future EndUse Share'!AC30+'Future EndUse Share'!AD30)</f>
        <v>9902.2667872572929</v>
      </c>
      <c r="AG22" s="113">
        <f>'Future Type Share'!C20*'Future Type Share'!K20*0.5*('Future EndUse Share'!Z30+'Future EndUse Share'!AB30+'Future EndUse Share'!AC30+'Future EndUse Share'!AD30)</f>
        <v>0</v>
      </c>
      <c r="AH22" s="113">
        <f>'Future Type Share'!C20*'Future Type Share'!I20*('Future EndUse Share'!O30+'Future EndUse Share'!Q30+'Future EndUse Share'!R30+'Future EndUse Share'!S30)</f>
        <v>8560.972342512714</v>
      </c>
      <c r="AI22" s="113">
        <f t="shared" si="8"/>
        <v>0</v>
      </c>
      <c r="AJ22" s="58">
        <v>0</v>
      </c>
      <c r="AK22" s="58">
        <v>0</v>
      </c>
      <c r="AO22">
        <v>2019</v>
      </c>
      <c r="AP22" s="113">
        <f>'Future Type Share'!C20*'Future Type Share'!M20*'Future EndUse Share'!AE30</f>
        <v>1022.3951967999483</v>
      </c>
      <c r="AQ22" s="113">
        <f>'Future Type Share'!C20*'Future Type Share'!K20*0.5*('Future EndUse Share'!T30)</f>
        <v>0</v>
      </c>
      <c r="AR22" s="113">
        <f>'Future Type Share'!C20*'Future Type Share'!I20*('Future EndUse Share'!T30)</f>
        <v>0</v>
      </c>
      <c r="AS22" s="113">
        <f t="shared" si="9"/>
        <v>0</v>
      </c>
      <c r="AT22" s="58">
        <v>0</v>
      </c>
      <c r="AU22" s="58">
        <v>0</v>
      </c>
    </row>
    <row r="23" spans="1:47">
      <c r="A23">
        <v>2020</v>
      </c>
      <c r="B23" s="113">
        <f>'Future Type Share'!C21*'Future Type Share'!M21*'Future EndUse Share'!AA31</f>
        <v>1291.6877592638659</v>
      </c>
      <c r="C23" s="58">
        <f>'Future Type Share'!C21*'Future Type Share'!I21*0.5*'Future EndUse Share'!P31</f>
        <v>0</v>
      </c>
      <c r="D23" s="58">
        <f>'Future Type Share'!H21*'Future EndUse Share'!P31</f>
        <v>0</v>
      </c>
      <c r="E23" s="113">
        <f t="shared" si="7"/>
        <v>0</v>
      </c>
      <c r="F23" s="58">
        <v>0</v>
      </c>
      <c r="G23" s="58">
        <v>0</v>
      </c>
      <c r="K23">
        <v>2020</v>
      </c>
      <c r="L23" s="513">
        <f>'Future Type Share'!C21*'Future Type Share'!M21*'Future EndUse Share'!Y31</f>
        <v>9058.4496875042478</v>
      </c>
      <c r="M23" s="513">
        <f>'Future Type Share'!C21*'Future Type Share'!I21*0.5*'Future EndUse Share'!N31</f>
        <v>0</v>
      </c>
      <c r="N23" s="513">
        <f>'Future Type Share'!H21*'Future EndUse Share'!N31</f>
        <v>0</v>
      </c>
      <c r="O23" s="513">
        <f t="shared" si="2"/>
        <v>0</v>
      </c>
      <c r="P23" s="512">
        <v>0</v>
      </c>
      <c r="Q23" s="512">
        <v>0</v>
      </c>
      <c r="U23">
        <v>2020</v>
      </c>
      <c r="V23" s="56">
        <f t="shared" si="10"/>
        <v>0</v>
      </c>
      <c r="W23" s="56">
        <f t="shared" si="12"/>
        <v>0</v>
      </c>
      <c r="X23" s="56">
        <f t="shared" si="13"/>
        <v>0</v>
      </c>
      <c r="Y23" s="56">
        <f t="shared" si="14"/>
        <v>0</v>
      </c>
      <c r="Z23" s="56">
        <f t="shared" si="15"/>
        <v>0</v>
      </c>
      <c r="AA23" s="56">
        <f t="shared" si="11"/>
        <v>0</v>
      </c>
      <c r="AE23">
        <v>2020</v>
      </c>
      <c r="AF23" s="113">
        <f>'Future Type Share'!C21*'Future Type Share'!M21*('Future EndUse Share'!Z31+'Future EndUse Share'!AB31+'Future EndUse Share'!AC31+'Future EndUse Share'!AD31)</f>
        <v>10648.59560326469</v>
      </c>
      <c r="AG23" s="113">
        <f>'Future Type Share'!C21*'Future Type Share'!K21*0.5*('Future EndUse Share'!Z31+'Future EndUse Share'!AB31+'Future EndUse Share'!AC31+'Future EndUse Share'!AD31)</f>
        <v>0</v>
      </c>
      <c r="AH23" s="113">
        <f>'Future Type Share'!C21*'Future Type Share'!I21*('Future EndUse Share'!O31+'Future EndUse Share'!Q31+'Future EndUse Share'!R31+'Future EndUse Share'!S31)</f>
        <v>9216.7515711339965</v>
      </c>
      <c r="AI23" s="113">
        <f t="shared" si="8"/>
        <v>0</v>
      </c>
      <c r="AJ23" s="58">
        <v>0</v>
      </c>
      <c r="AK23" s="58">
        <v>0</v>
      </c>
      <c r="AO23">
        <v>2020</v>
      </c>
      <c r="AP23" s="113">
        <f>'Future Type Share'!C21*'Future Type Share'!M21*'Future EndUse Share'!AE31</f>
        <v>1097.9345953742861</v>
      </c>
      <c r="AQ23" s="113">
        <f>'Future Type Share'!C21*'Future Type Share'!K21*0.5*('Future EndUse Share'!T31)</f>
        <v>0</v>
      </c>
      <c r="AR23" s="113">
        <f>'Future Type Share'!C21*'Future Type Share'!I21*('Future EndUse Share'!T31)</f>
        <v>0</v>
      </c>
      <c r="AS23" s="113">
        <f t="shared" si="9"/>
        <v>0</v>
      </c>
      <c r="AT23" s="58">
        <v>0</v>
      </c>
      <c r="AU23" s="58">
        <v>0</v>
      </c>
    </row>
    <row r="24" spans="1:47">
      <c r="A24">
        <v>2021</v>
      </c>
      <c r="B24" s="113">
        <f>'Future Type Share'!C22*'Future Type Share'!M22*'Future EndUse Share'!AA32</f>
        <v>1267.213725870268</v>
      </c>
      <c r="C24" s="58">
        <f>'Future Type Share'!C22*'Future Type Share'!I22*0.5*'Future EndUse Share'!P32</f>
        <v>0</v>
      </c>
      <c r="D24" s="58">
        <f>'Future Type Share'!H22*'Future EndUse Share'!P32</f>
        <v>0</v>
      </c>
      <c r="E24" s="113">
        <f t="shared" si="7"/>
        <v>0</v>
      </c>
      <c r="F24" s="58">
        <v>0</v>
      </c>
      <c r="G24" s="58">
        <v>0</v>
      </c>
      <c r="K24">
        <v>2021</v>
      </c>
      <c r="L24" s="513">
        <f>'Future Type Share'!C22*'Future Type Share'!M22*'Future EndUse Share'!Y32</f>
        <v>9067.2502491362993</v>
      </c>
      <c r="M24" s="513">
        <f>'Future Type Share'!C22*'Future Type Share'!I22*0.5*'Future EndUse Share'!N32</f>
        <v>0</v>
      </c>
      <c r="N24" s="513">
        <f>'Future Type Share'!H22*'Future EndUse Share'!N32</f>
        <v>0</v>
      </c>
      <c r="O24" s="513">
        <f t="shared" si="2"/>
        <v>0</v>
      </c>
      <c r="P24" s="512">
        <v>0</v>
      </c>
      <c r="Q24" s="512">
        <v>0</v>
      </c>
      <c r="U24">
        <v>2021</v>
      </c>
      <c r="V24" s="56">
        <f t="shared" si="10"/>
        <v>0</v>
      </c>
      <c r="W24" s="56">
        <f t="shared" si="12"/>
        <v>0</v>
      </c>
      <c r="X24" s="56">
        <f t="shared" si="13"/>
        <v>0</v>
      </c>
      <c r="Y24" s="56">
        <f t="shared" si="14"/>
        <v>0</v>
      </c>
      <c r="Z24" s="56">
        <f t="shared" si="15"/>
        <v>0</v>
      </c>
      <c r="AA24" s="56">
        <f t="shared" si="11"/>
        <v>0</v>
      </c>
      <c r="AE24">
        <v>2021</v>
      </c>
      <c r="AF24" s="113">
        <f>'Future Type Share'!C22*'Future Type Share'!M22*('Future EndUse Share'!Z32+'Future EndUse Share'!AB32+'Future EndUse Share'!AC32+'Future EndUse Share'!AD32)</f>
        <v>10404.594173517453</v>
      </c>
      <c r="AG24" s="113">
        <f>'Future Type Share'!C22*'Future Type Share'!K22*0.5*('Future EndUse Share'!Z32+'Future EndUse Share'!AB32+'Future EndUse Share'!AC32+'Future EndUse Share'!AD32)</f>
        <v>0</v>
      </c>
      <c r="AH24" s="113">
        <f>'Future Type Share'!C22*'Future Type Share'!I22*('Future EndUse Share'!O32+'Future EndUse Share'!Q32+'Future EndUse Share'!R32+'Future EndUse Share'!S32)</f>
        <v>8896.250881545986</v>
      </c>
      <c r="AI24" s="113">
        <f t="shared" si="8"/>
        <v>0</v>
      </c>
      <c r="AJ24" s="58">
        <v>0</v>
      </c>
      <c r="AK24" s="58">
        <v>0</v>
      </c>
      <c r="AO24">
        <v>2021</v>
      </c>
      <c r="AP24" s="113">
        <f>'Future Type Share'!C22*'Future Type Share'!M22*'Future EndUse Share'!AE32</f>
        <v>1076.3037410350855</v>
      </c>
      <c r="AQ24" s="113">
        <f>'Future Type Share'!C22*'Future Type Share'!K22*0.5*('Future EndUse Share'!T32)</f>
        <v>0</v>
      </c>
      <c r="AR24" s="113">
        <f>'Future Type Share'!C22*'Future Type Share'!I22*('Future EndUse Share'!T32)</f>
        <v>0</v>
      </c>
      <c r="AS24" s="113">
        <f t="shared" si="9"/>
        <v>0</v>
      </c>
      <c r="AT24" s="58">
        <v>0</v>
      </c>
      <c r="AU24" s="58">
        <v>0</v>
      </c>
    </row>
    <row r="25" spans="1:47">
      <c r="A25">
        <v>2022</v>
      </c>
      <c r="B25" s="56">
        <f>'Future Type Share'!L23*'Future EndUse Share'!AA33</f>
        <v>1935.2958553625435</v>
      </c>
      <c r="C25">
        <f>'Future Type Share'!C23*'Future Type Share'!I23*0.5*'Future EndUse Share'!P33</f>
        <v>0</v>
      </c>
      <c r="D25">
        <f>'Future Type Share'!H23*'Future EndUse Share'!P33</f>
        <v>0</v>
      </c>
      <c r="E25" s="56">
        <f t="shared" ref="E25:E53" si="16">C25</f>
        <v>0</v>
      </c>
      <c r="F25">
        <f t="shared" ref="F25:F53" si="17">F24</f>
        <v>0</v>
      </c>
      <c r="G25">
        <f t="shared" ref="G25:G53" si="18">G24</f>
        <v>0</v>
      </c>
      <c r="K25">
        <v>2022</v>
      </c>
      <c r="L25" s="56">
        <f>'Future Type Share'!L23*'Future EndUse Share'!Y33</f>
        <v>9623.2868987819365</v>
      </c>
      <c r="M25" s="56">
        <f t="shared" ref="M25:M53" si="19">M24</f>
        <v>0</v>
      </c>
      <c r="N25" s="56">
        <f>'Future Type Share'!H23*'Future EndUse Share'!N33</f>
        <v>0</v>
      </c>
      <c r="O25" s="56">
        <f t="shared" ref="O25:O53" si="20">O24</f>
        <v>0</v>
      </c>
      <c r="P25" s="56">
        <f t="shared" ref="P25:P53" si="21">P24</f>
        <v>0</v>
      </c>
      <c r="Q25" s="56">
        <f t="shared" ref="Q25:Q53" si="22">Q24</f>
        <v>0</v>
      </c>
      <c r="U25">
        <v>2022</v>
      </c>
      <c r="V25" s="56">
        <f t="shared" si="10"/>
        <v>0</v>
      </c>
      <c r="W25" s="56">
        <f t="shared" si="12"/>
        <v>0</v>
      </c>
      <c r="X25" s="56">
        <f t="shared" si="13"/>
        <v>0</v>
      </c>
      <c r="Y25" s="56">
        <f t="shared" si="14"/>
        <v>0</v>
      </c>
      <c r="Z25" s="56">
        <f t="shared" si="15"/>
        <v>0</v>
      </c>
      <c r="AA25" s="56">
        <f t="shared" si="11"/>
        <v>0</v>
      </c>
      <c r="AE25">
        <v>2022</v>
      </c>
      <c r="AF25" s="56">
        <f>'Future Type Share'!L23*('Future EndUse Share'!Z33+'Future EndUse Share'!AB33+'Future EndUse Share'!AC33+'Future EndUse Share'!AD33)</f>
        <v>9259.2636841988406</v>
      </c>
      <c r="AG25">
        <f>'Future Type Share'!C23*'Future Type Share'!K23*0.5*('Future EndUse Share'!Z33+'Future EndUse Share'!AB33+'Future EndUse Share'!AC33+'Future EndUse Share'!AD33)</f>
        <v>0</v>
      </c>
      <c r="AH25">
        <f>'Future Type Share'!C23*'Future Type Share'!I23*('Future EndUse Share'!O33+'Future EndUse Share'!Q33+'Future EndUse Share'!R33+'Future EndUse Share'!S33)</f>
        <v>8808.5284083470615</v>
      </c>
      <c r="AI25" s="56">
        <f t="shared" ref="AI25:AI53" si="23">AG25</f>
        <v>0</v>
      </c>
      <c r="AJ25">
        <f t="shared" ref="AJ25:AJ53" si="24">AJ24</f>
        <v>0</v>
      </c>
      <c r="AK25">
        <f t="shared" ref="AK25:AK53" si="25">AK24</f>
        <v>0</v>
      </c>
      <c r="AO25">
        <v>2022</v>
      </c>
      <c r="AP25" s="56">
        <f>'Future Type Share'!L23*('Future EndUse Share'!AE33)</f>
        <v>2628.556076018675</v>
      </c>
      <c r="AQ25" s="56">
        <f>'Future Type Share'!J23*0.5*('Future EndUse Share'!T22)</f>
        <v>0</v>
      </c>
      <c r="AR25" s="56">
        <f>'Future Type Share'!H23*0.5*('Future EndUse Share'!T33)</f>
        <v>0</v>
      </c>
      <c r="AS25" s="56">
        <f t="shared" ref="AS25:AS53" si="26">AQ25</f>
        <v>0</v>
      </c>
      <c r="AT25">
        <f t="shared" ref="AT25:AT53" si="27">AT24</f>
        <v>0</v>
      </c>
      <c r="AU25">
        <f t="shared" ref="AU25:AU53" si="28">AU24</f>
        <v>0</v>
      </c>
    </row>
    <row r="26" spans="1:47">
      <c r="A26">
        <v>2023</v>
      </c>
      <c r="B26" s="56">
        <f>'Future Type Share'!L24*'Future EndUse Share'!AA34</f>
        <v>1955.2794811057893</v>
      </c>
      <c r="C26">
        <f>'Future Type Share'!C24*'Future Type Share'!I24*0.5*'Future EndUse Share'!P34</f>
        <v>0</v>
      </c>
      <c r="D26">
        <f>'Future Type Share'!H24*'Future EndUse Share'!P34</f>
        <v>0</v>
      </c>
      <c r="E26" s="56">
        <f t="shared" si="16"/>
        <v>0</v>
      </c>
      <c r="F26">
        <f t="shared" si="17"/>
        <v>0</v>
      </c>
      <c r="G26">
        <f t="shared" si="18"/>
        <v>0</v>
      </c>
      <c r="K26">
        <v>2023</v>
      </c>
      <c r="L26" s="56">
        <f>'Future Type Share'!L24*'Future EndUse Share'!Y34</f>
        <v>9900.1319919792531</v>
      </c>
      <c r="M26" s="56">
        <f t="shared" si="19"/>
        <v>0</v>
      </c>
      <c r="N26" s="56">
        <f>'Future Type Share'!H24*'Future EndUse Share'!N34</f>
        <v>0</v>
      </c>
      <c r="O26" s="56">
        <f t="shared" si="20"/>
        <v>0</v>
      </c>
      <c r="P26" s="56">
        <f t="shared" si="21"/>
        <v>0</v>
      </c>
      <c r="Q26" s="56">
        <f t="shared" si="22"/>
        <v>0</v>
      </c>
      <c r="U26">
        <v>2023</v>
      </c>
      <c r="V26" s="56">
        <f t="shared" si="10"/>
        <v>0</v>
      </c>
      <c r="W26" s="56">
        <f t="shared" si="12"/>
        <v>0</v>
      </c>
      <c r="X26" s="56">
        <f t="shared" si="13"/>
        <v>0</v>
      </c>
      <c r="Y26" s="56">
        <f t="shared" si="14"/>
        <v>0</v>
      </c>
      <c r="Z26" s="56">
        <f t="shared" si="15"/>
        <v>0</v>
      </c>
      <c r="AA26" s="56">
        <f t="shared" si="11"/>
        <v>0</v>
      </c>
      <c r="AE26">
        <v>2023</v>
      </c>
      <c r="AF26" s="56">
        <f>'Future Type Share'!L24*('Future EndUse Share'!Z34+'Future EndUse Share'!AB34+'Future EndUse Share'!AC34+'Future EndUse Share'!AD34)</f>
        <v>9310.1749911958013</v>
      </c>
      <c r="AG26">
        <f>'Future Type Share'!C24*'Future Type Share'!K24*0.5*('Future EndUse Share'!Z34+'Future EndUse Share'!AB34+'Future EndUse Share'!AC34+'Future EndUse Share'!AD34)</f>
        <v>0</v>
      </c>
      <c r="AH26">
        <f>'Future Type Share'!C24*'Future Type Share'!I24*('Future EndUse Share'!O34+'Future EndUse Share'!Q34+'Future EndUse Share'!R34+'Future EndUse Share'!S34)</f>
        <v>8763.2071289559135</v>
      </c>
      <c r="AI26" s="56">
        <f t="shared" si="23"/>
        <v>0</v>
      </c>
      <c r="AJ26">
        <f t="shared" si="24"/>
        <v>0</v>
      </c>
      <c r="AK26">
        <f t="shared" si="25"/>
        <v>0</v>
      </c>
      <c r="AO26">
        <v>2023</v>
      </c>
      <c r="AP26" s="56">
        <f>'Future Type Share'!L24*('Future EndUse Share'!AE34)</f>
        <v>2659.1977585263999</v>
      </c>
      <c r="AQ26" s="56">
        <f>'Future Type Share'!J24*0.5*('Future EndUse Share'!T23)</f>
        <v>0</v>
      </c>
      <c r="AR26" s="56">
        <f>'Future Type Share'!H24*0.5*('Future EndUse Share'!T34)</f>
        <v>0</v>
      </c>
      <c r="AS26" s="56">
        <f t="shared" si="26"/>
        <v>0</v>
      </c>
      <c r="AT26">
        <f t="shared" si="27"/>
        <v>0</v>
      </c>
      <c r="AU26">
        <f t="shared" si="28"/>
        <v>0</v>
      </c>
    </row>
    <row r="27" spans="1:47">
      <c r="A27">
        <v>2024</v>
      </c>
      <c r="B27" s="56">
        <f>'Future Type Share'!L25*'Future EndUse Share'!AA35</f>
        <v>1974.0489517694905</v>
      </c>
      <c r="C27">
        <f>'Future Type Share'!C25*'Future Type Share'!I25*0.5*'Future EndUse Share'!P35</f>
        <v>0</v>
      </c>
      <c r="D27">
        <f>'Future Type Share'!H25*'Future EndUse Share'!P35</f>
        <v>0</v>
      </c>
      <c r="E27" s="56">
        <f t="shared" si="16"/>
        <v>0</v>
      </c>
      <c r="F27">
        <f t="shared" si="17"/>
        <v>0</v>
      </c>
      <c r="G27">
        <f t="shared" si="18"/>
        <v>0</v>
      </c>
      <c r="K27">
        <v>2024</v>
      </c>
      <c r="L27" s="56">
        <f>'Future Type Share'!L25*'Future EndUse Share'!Y35</f>
        <v>10174.347004699963</v>
      </c>
      <c r="M27" s="56">
        <f t="shared" si="19"/>
        <v>0</v>
      </c>
      <c r="N27" s="56">
        <f>'Future Type Share'!H25*'Future EndUse Share'!N35</f>
        <v>0</v>
      </c>
      <c r="O27" s="56">
        <f t="shared" si="20"/>
        <v>0</v>
      </c>
      <c r="P27" s="56">
        <f t="shared" si="21"/>
        <v>0</v>
      </c>
      <c r="Q27" s="56">
        <f t="shared" si="22"/>
        <v>0</v>
      </c>
      <c r="U27">
        <v>2024</v>
      </c>
      <c r="V27" s="56">
        <f t="shared" si="10"/>
        <v>0</v>
      </c>
      <c r="W27" s="56">
        <f t="shared" si="12"/>
        <v>0</v>
      </c>
      <c r="X27" s="56">
        <f t="shared" si="13"/>
        <v>0</v>
      </c>
      <c r="Y27" s="56">
        <f t="shared" si="14"/>
        <v>0</v>
      </c>
      <c r="Z27" s="56">
        <f t="shared" si="15"/>
        <v>0</v>
      </c>
      <c r="AA27" s="56">
        <f t="shared" si="11"/>
        <v>0</v>
      </c>
      <c r="AE27">
        <v>2024</v>
      </c>
      <c r="AF27" s="56">
        <f>'Future Type Share'!L25*('Future EndUse Share'!Z35+'Future EndUse Share'!AB35+'Future EndUse Share'!AC35+'Future EndUse Share'!AD35)</f>
        <v>9354.4191134702523</v>
      </c>
      <c r="AG27">
        <f>'Future Type Share'!C25*'Future Type Share'!K25*0.5*('Future EndUse Share'!Z35+'Future EndUse Share'!AB35+'Future EndUse Share'!AC35+'Future EndUse Share'!AD35)</f>
        <v>0</v>
      </c>
      <c r="AH27">
        <f>'Future Type Share'!C25*'Future Type Share'!I25*('Future EndUse Share'!O35+'Future EndUse Share'!Q35+'Future EndUse Share'!R35+'Future EndUse Share'!S35)</f>
        <v>8709.7432538677749</v>
      </c>
      <c r="AI27" s="56">
        <f t="shared" si="23"/>
        <v>0</v>
      </c>
      <c r="AJ27">
        <f t="shared" si="24"/>
        <v>0</v>
      </c>
      <c r="AK27">
        <f t="shared" si="25"/>
        <v>0</v>
      </c>
      <c r="AO27">
        <v>2024</v>
      </c>
      <c r="AP27" s="56">
        <f>'Future Type Share'!L25*('Future EndUse Share'!AE35)</f>
        <v>2688.2575390173611</v>
      </c>
      <c r="AQ27" s="56">
        <f>'Future Type Share'!J25*0.5*('Future EndUse Share'!T24)</f>
        <v>0</v>
      </c>
      <c r="AR27" s="56">
        <f>'Future Type Share'!H25*0.5*('Future EndUse Share'!T35)</f>
        <v>0</v>
      </c>
      <c r="AS27" s="56">
        <f t="shared" si="26"/>
        <v>0</v>
      </c>
      <c r="AT27">
        <f t="shared" si="27"/>
        <v>0</v>
      </c>
      <c r="AU27">
        <f t="shared" si="28"/>
        <v>0</v>
      </c>
    </row>
    <row r="28" spans="1:47">
      <c r="A28">
        <v>2025</v>
      </c>
      <c r="B28" s="56">
        <f>'Future Type Share'!L26*'Future EndUse Share'!AA36</f>
        <v>1990.5349649879288</v>
      </c>
      <c r="C28">
        <f>'Future Type Share'!C26*'Future Type Share'!I26*0.5*'Future EndUse Share'!P36</f>
        <v>0</v>
      </c>
      <c r="D28">
        <f>'Future Type Share'!H26*'Future EndUse Share'!P36</f>
        <v>0</v>
      </c>
      <c r="E28" s="56">
        <f t="shared" si="16"/>
        <v>0</v>
      </c>
      <c r="F28">
        <f t="shared" si="17"/>
        <v>0</v>
      </c>
      <c r="G28">
        <f t="shared" si="18"/>
        <v>0</v>
      </c>
      <c r="K28">
        <v>2025</v>
      </c>
      <c r="L28" s="56">
        <f>'Future Type Share'!L26*'Future EndUse Share'!Y36</f>
        <v>10439.993022772431</v>
      </c>
      <c r="M28" s="56">
        <f t="shared" si="19"/>
        <v>0</v>
      </c>
      <c r="N28" s="56">
        <f>'Future Type Share'!H26*'Future EndUse Share'!N36</f>
        <v>0</v>
      </c>
      <c r="O28" s="56">
        <f t="shared" si="20"/>
        <v>0</v>
      </c>
      <c r="P28" s="56">
        <f t="shared" si="21"/>
        <v>0</v>
      </c>
      <c r="Q28" s="56">
        <f t="shared" si="22"/>
        <v>0</v>
      </c>
      <c r="U28">
        <v>2025</v>
      </c>
      <c r="V28" s="56">
        <f t="shared" si="10"/>
        <v>0</v>
      </c>
      <c r="W28" s="56">
        <f t="shared" si="12"/>
        <v>0</v>
      </c>
      <c r="X28" s="56">
        <f t="shared" si="13"/>
        <v>0</v>
      </c>
      <c r="Y28" s="56">
        <f t="shared" si="14"/>
        <v>0</v>
      </c>
      <c r="Z28" s="56">
        <f t="shared" si="15"/>
        <v>0</v>
      </c>
      <c r="AA28" s="56">
        <f t="shared" si="11"/>
        <v>0</v>
      </c>
      <c r="AE28">
        <v>2025</v>
      </c>
      <c r="AF28" s="56">
        <f>'Future Type Share'!L26*('Future EndUse Share'!Z36+'Future EndUse Share'!AB36+'Future EndUse Share'!AC36+'Future EndUse Share'!AD36)</f>
        <v>9387.0366649624139</v>
      </c>
      <c r="AG28">
        <f>'Future Type Share'!C26*'Future Type Share'!K26*0.5*('Future EndUse Share'!Z36+'Future EndUse Share'!AB36+'Future EndUse Share'!AC36+'Future EndUse Share'!AD36)</f>
        <v>0</v>
      </c>
      <c r="AH28">
        <f>'Future Type Share'!C26*'Future Type Share'!I26*('Future EndUse Share'!O36+'Future EndUse Share'!Q36+'Future EndUse Share'!R36+'Future EndUse Share'!S36)</f>
        <v>8643.7472873566912</v>
      </c>
      <c r="AI28" s="56">
        <f t="shared" si="23"/>
        <v>0</v>
      </c>
      <c r="AJ28">
        <f t="shared" si="24"/>
        <v>0</v>
      </c>
      <c r="AK28">
        <f t="shared" si="25"/>
        <v>0</v>
      </c>
      <c r="AO28">
        <v>2025</v>
      </c>
      <c r="AP28" s="56">
        <f>'Future Type Share'!L26*('Future EndUse Share'!AE36)</f>
        <v>2714.2708097193486</v>
      </c>
      <c r="AQ28" s="56">
        <f>'Future Type Share'!J26*0.5*('Future EndUse Share'!T25)</f>
        <v>0</v>
      </c>
      <c r="AR28" s="56">
        <f>'Future Type Share'!H26*0.5*('Future EndUse Share'!T36)</f>
        <v>0</v>
      </c>
      <c r="AS28" s="56">
        <f t="shared" si="26"/>
        <v>0</v>
      </c>
      <c r="AT28">
        <f t="shared" si="27"/>
        <v>0</v>
      </c>
      <c r="AU28">
        <f t="shared" si="28"/>
        <v>0</v>
      </c>
    </row>
    <row r="29" spans="1:47">
      <c r="A29">
        <v>2026</v>
      </c>
      <c r="B29" s="56">
        <f>'Future Type Share'!L27*'Future EndUse Share'!AA37</f>
        <v>2008.1717482813417</v>
      </c>
      <c r="C29">
        <f>'Future Type Share'!C27*'Future Type Share'!I27*0.5*'Future EndUse Share'!P37</f>
        <v>0</v>
      </c>
      <c r="D29">
        <f>'Future Type Share'!H27*'Future EndUse Share'!P37</f>
        <v>0</v>
      </c>
      <c r="E29" s="56">
        <f t="shared" si="16"/>
        <v>0</v>
      </c>
      <c r="F29">
        <f t="shared" si="17"/>
        <v>0</v>
      </c>
      <c r="G29">
        <f t="shared" si="18"/>
        <v>0</v>
      </c>
      <c r="K29">
        <v>2026</v>
      </c>
      <c r="L29" s="56">
        <f>'Future Type Share'!L27*'Future EndUse Share'!Y37</f>
        <v>10714.771867881404</v>
      </c>
      <c r="M29" s="56">
        <f t="shared" si="19"/>
        <v>0</v>
      </c>
      <c r="N29" s="56">
        <f>'Future Type Share'!H27*'Future EndUse Share'!N37</f>
        <v>0</v>
      </c>
      <c r="O29" s="56">
        <f t="shared" si="20"/>
        <v>0</v>
      </c>
      <c r="P29" s="56">
        <f t="shared" si="21"/>
        <v>0</v>
      </c>
      <c r="Q29" s="56">
        <f t="shared" si="22"/>
        <v>0</v>
      </c>
      <c r="U29">
        <v>2026</v>
      </c>
      <c r="V29" s="56">
        <f t="shared" si="10"/>
        <v>0</v>
      </c>
      <c r="W29" s="56">
        <f t="shared" si="12"/>
        <v>0</v>
      </c>
      <c r="X29" s="56">
        <f t="shared" si="13"/>
        <v>0</v>
      </c>
      <c r="Y29" s="56">
        <f t="shared" si="14"/>
        <v>0</v>
      </c>
      <c r="Z29" s="56">
        <f t="shared" si="15"/>
        <v>0</v>
      </c>
      <c r="AA29" s="56">
        <f t="shared" si="11"/>
        <v>0</v>
      </c>
      <c r="AE29">
        <v>2026</v>
      </c>
      <c r="AF29" s="56">
        <f>'Future Type Share'!L27*('Future EndUse Share'!Z37+'Future EndUse Share'!AB37+'Future EndUse Share'!AC37+'Future EndUse Share'!AD37)</f>
        <v>9424.3009946660259</v>
      </c>
      <c r="AG29">
        <f>'Future Type Share'!C27*'Future Type Share'!K27*0.5*('Future EndUse Share'!Z37+'Future EndUse Share'!AB37+'Future EndUse Share'!AC37+'Future EndUse Share'!AD37)</f>
        <v>0</v>
      </c>
      <c r="AH29">
        <f>'Future Type Share'!C27*'Future Type Share'!I27*('Future EndUse Share'!O37+'Future EndUse Share'!Q37+'Future EndUse Share'!R37+'Future EndUse Share'!S37)</f>
        <v>8580.3701972021117</v>
      </c>
      <c r="AI29" s="56">
        <f t="shared" si="23"/>
        <v>0</v>
      </c>
      <c r="AJ29">
        <f t="shared" si="24"/>
        <v>0</v>
      </c>
      <c r="AK29">
        <f t="shared" si="25"/>
        <v>0</v>
      </c>
      <c r="AO29">
        <v>2026</v>
      </c>
      <c r="AP29" s="56">
        <f>'Future Type Share'!L27*('Future EndUse Share'!AE37)</f>
        <v>2741.9143299914786</v>
      </c>
      <c r="AQ29" s="56">
        <f>'Future Type Share'!J27*0.5*('Future EndUse Share'!T26)</f>
        <v>0</v>
      </c>
      <c r="AR29" s="56">
        <f>'Future Type Share'!H27*0.5*('Future EndUse Share'!T37)</f>
        <v>0</v>
      </c>
      <c r="AS29" s="56">
        <f t="shared" si="26"/>
        <v>0</v>
      </c>
      <c r="AT29">
        <f t="shared" si="27"/>
        <v>0</v>
      </c>
      <c r="AU29">
        <f t="shared" si="28"/>
        <v>0</v>
      </c>
    </row>
    <row r="30" spans="1:47">
      <c r="A30">
        <v>2027</v>
      </c>
      <c r="B30" s="56">
        <f>'Future Type Share'!L28*'Future EndUse Share'!AA38</f>
        <v>2027.2102256684714</v>
      </c>
      <c r="C30">
        <f>'Future Type Share'!C28*'Future Type Share'!I28*0.5*'Future EndUse Share'!P38</f>
        <v>0</v>
      </c>
      <c r="D30">
        <f>'Future Type Share'!H28*'Future EndUse Share'!P38</f>
        <v>0</v>
      </c>
      <c r="E30" s="56">
        <f t="shared" si="16"/>
        <v>0</v>
      </c>
      <c r="F30">
        <f t="shared" si="17"/>
        <v>0</v>
      </c>
      <c r="G30">
        <f t="shared" si="18"/>
        <v>0</v>
      </c>
      <c r="K30">
        <v>2027</v>
      </c>
      <c r="L30" s="56">
        <f>'Future Type Share'!L28*'Future EndUse Share'!Y38</f>
        <v>11000.358500615461</v>
      </c>
      <c r="M30" s="56">
        <f t="shared" si="19"/>
        <v>0</v>
      </c>
      <c r="N30" s="56">
        <f>'Future Type Share'!H28*'Future EndUse Share'!N38</f>
        <v>0</v>
      </c>
      <c r="O30" s="56">
        <f t="shared" si="20"/>
        <v>0</v>
      </c>
      <c r="P30" s="56">
        <f t="shared" si="21"/>
        <v>0</v>
      </c>
      <c r="Q30" s="56">
        <f t="shared" si="22"/>
        <v>0</v>
      </c>
      <c r="U30">
        <v>2027</v>
      </c>
      <c r="V30" s="56">
        <f t="shared" si="10"/>
        <v>0</v>
      </c>
      <c r="W30" s="56">
        <f t="shared" si="12"/>
        <v>0</v>
      </c>
      <c r="X30" s="56">
        <f t="shared" si="13"/>
        <v>0</v>
      </c>
      <c r="Y30" s="56">
        <f t="shared" si="14"/>
        <v>0</v>
      </c>
      <c r="Z30" s="56">
        <f t="shared" si="15"/>
        <v>0</v>
      </c>
      <c r="AA30" s="56">
        <f t="shared" si="11"/>
        <v>0</v>
      </c>
      <c r="AE30">
        <v>2027</v>
      </c>
      <c r="AF30" s="56">
        <f>'Future Type Share'!L28*('Future EndUse Share'!Z38+'Future EndUse Share'!AB38+'Future EndUse Share'!AC38+'Future EndUse Share'!AD38)</f>
        <v>9467.3050250165415</v>
      </c>
      <c r="AG30">
        <f>'Future Type Share'!C28*'Future Type Share'!K28*0.5*('Future EndUse Share'!Z38+'Future EndUse Share'!AB38+'Future EndUse Share'!AC38+'Future EndUse Share'!AD38)</f>
        <v>0</v>
      </c>
      <c r="AH30">
        <f>'Future Type Share'!C28*'Future Type Share'!I28*('Future EndUse Share'!O38+'Future EndUse Share'!Q38+'Future EndUse Share'!R38+'Future EndUse Share'!S38)</f>
        <v>8520.4260090974967</v>
      </c>
      <c r="AI30" s="56">
        <f t="shared" si="23"/>
        <v>0</v>
      </c>
      <c r="AJ30">
        <f t="shared" si="24"/>
        <v>0</v>
      </c>
      <c r="AK30">
        <f t="shared" si="25"/>
        <v>0</v>
      </c>
      <c r="AO30">
        <v>2027</v>
      </c>
      <c r="AP30" s="56">
        <f>'Future Type Share'!L28*('Future EndUse Share'!AE38)</f>
        <v>2771.5373340765523</v>
      </c>
      <c r="AQ30" s="56">
        <f>'Future Type Share'!J28*0.5*('Future EndUse Share'!T27)</f>
        <v>0</v>
      </c>
      <c r="AR30" s="56">
        <f>'Future Type Share'!H28*0.5*('Future EndUse Share'!T38)</f>
        <v>0</v>
      </c>
      <c r="AS30" s="56">
        <f t="shared" si="26"/>
        <v>0</v>
      </c>
      <c r="AT30">
        <f t="shared" si="27"/>
        <v>0</v>
      </c>
      <c r="AU30">
        <f t="shared" si="28"/>
        <v>0</v>
      </c>
    </row>
    <row r="31" spans="1:47">
      <c r="A31">
        <v>2028</v>
      </c>
      <c r="B31" s="56">
        <f>'Future Type Share'!L29*'Future EndUse Share'!AA39</f>
        <v>2047.398910024993</v>
      </c>
      <c r="C31">
        <f>'Future Type Share'!C29*'Future Type Share'!I29*0.5*'Future EndUse Share'!P39</f>
        <v>0</v>
      </c>
      <c r="D31">
        <f>'Future Type Share'!H29*'Future EndUse Share'!P39</f>
        <v>0</v>
      </c>
      <c r="E31" s="56">
        <f t="shared" si="16"/>
        <v>0</v>
      </c>
      <c r="F31">
        <f t="shared" si="17"/>
        <v>0</v>
      </c>
      <c r="G31">
        <f t="shared" si="18"/>
        <v>0</v>
      </c>
      <c r="K31">
        <v>2028</v>
      </c>
      <c r="L31" s="56">
        <f>'Future Type Share'!L29*'Future EndUse Share'!Y39</f>
        <v>11295.747121778064</v>
      </c>
      <c r="M31" s="56">
        <f t="shared" si="19"/>
        <v>0</v>
      </c>
      <c r="N31" s="56">
        <f>'Future Type Share'!H29*'Future EndUse Share'!N39</f>
        <v>0</v>
      </c>
      <c r="O31" s="56">
        <f t="shared" si="20"/>
        <v>0</v>
      </c>
      <c r="P31" s="56">
        <f t="shared" si="21"/>
        <v>0</v>
      </c>
      <c r="Q31" s="56">
        <f t="shared" si="22"/>
        <v>0</v>
      </c>
      <c r="U31">
        <v>2028</v>
      </c>
      <c r="V31" s="56">
        <f t="shared" si="10"/>
        <v>0</v>
      </c>
      <c r="W31" s="56">
        <f t="shared" si="12"/>
        <v>0</v>
      </c>
      <c r="X31" s="56">
        <f t="shared" si="13"/>
        <v>0</v>
      </c>
      <c r="Y31" s="56">
        <f t="shared" si="14"/>
        <v>0</v>
      </c>
      <c r="Z31" s="56">
        <f t="shared" si="15"/>
        <v>0</v>
      </c>
      <c r="AA31" s="56">
        <f t="shared" si="11"/>
        <v>0</v>
      </c>
      <c r="AE31">
        <v>2028</v>
      </c>
      <c r="AF31" s="56">
        <f>'Future Type Share'!L29*('Future EndUse Share'!Z39+'Future EndUse Share'!AB39+'Future EndUse Share'!AC39+'Future EndUse Share'!AD39)</f>
        <v>9514.783900964836</v>
      </c>
      <c r="AG31">
        <f>'Future Type Share'!C29*'Future Type Share'!K29*0.5*('Future EndUse Share'!Z39+'Future EndUse Share'!AB39+'Future EndUse Share'!AC39+'Future EndUse Share'!AD39)</f>
        <v>0</v>
      </c>
      <c r="AH31">
        <f>'Future Type Share'!C29*'Future Type Share'!I29*('Future EndUse Share'!O39+'Future EndUse Share'!Q39+'Future EndUse Share'!R39+'Future EndUse Share'!S39)</f>
        <v>8462.582161436645</v>
      </c>
      <c r="AI31" s="56">
        <f t="shared" si="23"/>
        <v>0</v>
      </c>
      <c r="AJ31">
        <f t="shared" si="24"/>
        <v>0</v>
      </c>
      <c r="AK31">
        <f t="shared" si="25"/>
        <v>0</v>
      </c>
      <c r="AO31">
        <v>2028</v>
      </c>
      <c r="AP31" s="56">
        <f>'Future Type Share'!L29*('Future EndUse Share'!AE39)</f>
        <v>2802.8030728786775</v>
      </c>
      <c r="AQ31" s="56">
        <f>'Future Type Share'!J29*0.5*('Future EndUse Share'!T28)</f>
        <v>0</v>
      </c>
      <c r="AR31" s="56">
        <f>'Future Type Share'!H29*0.5*('Future EndUse Share'!T39)</f>
        <v>0</v>
      </c>
      <c r="AS31" s="56">
        <f t="shared" si="26"/>
        <v>0</v>
      </c>
      <c r="AT31">
        <f t="shared" si="27"/>
        <v>0</v>
      </c>
      <c r="AU31">
        <f t="shared" si="28"/>
        <v>0</v>
      </c>
    </row>
    <row r="32" spans="1:47">
      <c r="A32">
        <v>2029</v>
      </c>
      <c r="B32" s="56">
        <f>'Future Type Share'!L30*'Future EndUse Share'!AA40</f>
        <v>2067.9204686038825</v>
      </c>
      <c r="C32">
        <f>'Future Type Share'!C30*'Future Type Share'!I30*0.5*'Future EndUse Share'!P40</f>
        <v>0</v>
      </c>
      <c r="D32">
        <f>'Future Type Share'!H30*'Future EndUse Share'!P40</f>
        <v>0</v>
      </c>
      <c r="E32" s="56">
        <f t="shared" si="16"/>
        <v>0</v>
      </c>
      <c r="F32">
        <f t="shared" si="17"/>
        <v>0</v>
      </c>
      <c r="G32">
        <f t="shared" si="18"/>
        <v>0</v>
      </c>
      <c r="K32">
        <v>2029</v>
      </c>
      <c r="L32" s="56">
        <f>'Future Type Share'!L30*'Future EndUse Share'!Y40</f>
        <v>11596.667425377615</v>
      </c>
      <c r="M32" s="56">
        <f t="shared" si="19"/>
        <v>0</v>
      </c>
      <c r="N32" s="56">
        <f>'Future Type Share'!H30*'Future EndUse Share'!N40</f>
        <v>0</v>
      </c>
      <c r="O32" s="56">
        <f t="shared" si="20"/>
        <v>0</v>
      </c>
      <c r="P32" s="56">
        <f t="shared" si="21"/>
        <v>0</v>
      </c>
      <c r="Q32" s="56">
        <f t="shared" si="22"/>
        <v>0</v>
      </c>
      <c r="U32">
        <v>2029</v>
      </c>
      <c r="V32" s="56">
        <f t="shared" si="10"/>
        <v>0</v>
      </c>
      <c r="W32" s="56">
        <f t="shared" si="12"/>
        <v>0</v>
      </c>
      <c r="X32" s="56">
        <f t="shared" si="13"/>
        <v>0</v>
      </c>
      <c r="Y32" s="56">
        <f t="shared" si="14"/>
        <v>0</v>
      </c>
      <c r="Z32" s="56">
        <f t="shared" si="15"/>
        <v>0</v>
      </c>
      <c r="AA32" s="56">
        <f t="shared" si="11"/>
        <v>0</v>
      </c>
      <c r="AE32">
        <v>2029</v>
      </c>
      <c r="AF32" s="56">
        <f>'Future Type Share'!L30*('Future EndUse Share'!Z40+'Future EndUse Share'!AB40+'Future EndUse Share'!AC40+'Future EndUse Share'!AD40)</f>
        <v>9562.8790708472425</v>
      </c>
      <c r="AG32">
        <f>'Future Type Share'!C30*'Future Type Share'!K30*0.5*('Future EndUse Share'!Z40+'Future EndUse Share'!AB40+'Future EndUse Share'!AC40+'Future EndUse Share'!AD40)</f>
        <v>0</v>
      </c>
      <c r="AH32">
        <f>'Future Type Share'!C30*'Future Type Share'!I30*('Future EndUse Share'!O40+'Future EndUse Share'!Q40+'Future EndUse Share'!R40+'Future EndUse Share'!S40)</f>
        <v>8403.2768133266909</v>
      </c>
      <c r="AI32" s="56">
        <f t="shared" si="23"/>
        <v>0</v>
      </c>
      <c r="AJ32">
        <f t="shared" si="24"/>
        <v>0</v>
      </c>
      <c r="AK32">
        <f t="shared" si="25"/>
        <v>0</v>
      </c>
      <c r="AO32">
        <v>2029</v>
      </c>
      <c r="AP32" s="56">
        <f>'Future Type Share'!L30*('Future EndUse Share'!AE40)</f>
        <v>2834.5973652426114</v>
      </c>
      <c r="AQ32" s="56">
        <f>'Future Type Share'!J30*0.5*('Future EndUse Share'!T29)</f>
        <v>0</v>
      </c>
      <c r="AR32" s="56">
        <f>'Future Type Share'!H30*0.5*('Future EndUse Share'!T40)</f>
        <v>0</v>
      </c>
      <c r="AS32" s="56">
        <f t="shared" si="26"/>
        <v>0</v>
      </c>
      <c r="AT32">
        <f t="shared" si="27"/>
        <v>0</v>
      </c>
      <c r="AU32">
        <f t="shared" si="28"/>
        <v>0</v>
      </c>
    </row>
    <row r="33" spans="1:47">
      <c r="A33">
        <v>2030</v>
      </c>
      <c r="B33" s="56">
        <f>'Future Type Share'!L31*'Future EndUse Share'!AA41</f>
        <v>2088.4010710905295</v>
      </c>
      <c r="C33">
        <f>'Future Type Share'!C31*'Future Type Share'!I31*0.5*'Future EndUse Share'!P41</f>
        <v>0</v>
      </c>
      <c r="D33">
        <f>'Future Type Share'!H31*'Future EndUse Share'!P41</f>
        <v>0</v>
      </c>
      <c r="E33" s="56">
        <f t="shared" si="16"/>
        <v>0</v>
      </c>
      <c r="F33">
        <f t="shared" si="17"/>
        <v>0</v>
      </c>
      <c r="G33">
        <f t="shared" si="18"/>
        <v>0</v>
      </c>
      <c r="K33">
        <v>2030</v>
      </c>
      <c r="L33" s="56">
        <f>'Future Type Share'!L31*'Future EndUse Share'!Y41</f>
        <v>11901.079723655121</v>
      </c>
      <c r="M33" s="56">
        <f t="shared" si="19"/>
        <v>0</v>
      </c>
      <c r="N33" s="56">
        <f>'Future Type Share'!H31*'Future EndUse Share'!N41</f>
        <v>0</v>
      </c>
      <c r="O33" s="56">
        <f t="shared" si="20"/>
        <v>0</v>
      </c>
      <c r="P33" s="56">
        <f t="shared" si="21"/>
        <v>0</v>
      </c>
      <c r="Q33" s="56">
        <f t="shared" si="22"/>
        <v>0</v>
      </c>
      <c r="U33">
        <v>2030</v>
      </c>
      <c r="V33" s="56">
        <f t="shared" si="10"/>
        <v>0</v>
      </c>
      <c r="W33" s="56">
        <f t="shared" si="12"/>
        <v>0</v>
      </c>
      <c r="X33" s="56">
        <f t="shared" si="13"/>
        <v>0</v>
      </c>
      <c r="Y33" s="56">
        <f t="shared" si="14"/>
        <v>0</v>
      </c>
      <c r="Z33" s="56">
        <f t="shared" si="15"/>
        <v>0</v>
      </c>
      <c r="AA33" s="56">
        <f t="shared" si="11"/>
        <v>0</v>
      </c>
      <c r="AE33">
        <v>2030</v>
      </c>
      <c r="AF33" s="56">
        <f>'Future Type Share'!L31*('Future EndUse Share'!Z41+'Future EndUse Share'!AB41+'Future EndUse Share'!AC41+'Future EndUse Share'!AD41)</f>
        <v>9609.8475129104991</v>
      </c>
      <c r="AG33">
        <f>'Future Type Share'!C31*'Future Type Share'!K31*0.5*('Future EndUse Share'!Z41+'Future EndUse Share'!AB41+'Future EndUse Share'!AC41+'Future EndUse Share'!AD41)</f>
        <v>0</v>
      </c>
      <c r="AH33">
        <f>'Future Type Share'!C31*'Future Type Share'!I31*('Future EndUse Share'!O41+'Future EndUse Share'!Q41+'Future EndUse Share'!R41+'Future EndUse Share'!S41)</f>
        <v>8340.9473081736924</v>
      </c>
      <c r="AI33" s="56">
        <f t="shared" si="23"/>
        <v>0</v>
      </c>
      <c r="AJ33">
        <f t="shared" si="24"/>
        <v>0</v>
      </c>
      <c r="AK33">
        <f t="shared" si="25"/>
        <v>0</v>
      </c>
      <c r="AO33">
        <v>2030</v>
      </c>
      <c r="AP33" s="56">
        <f>'Future Type Share'!L31*('Future EndUse Share'!AE41)</f>
        <v>2866.4089023456545</v>
      </c>
      <c r="AQ33" s="56">
        <f>'Future Type Share'!J31*0.5*('Future EndUse Share'!T30)</f>
        <v>0</v>
      </c>
      <c r="AR33" s="56">
        <f>'Future Type Share'!H31*0.5*('Future EndUse Share'!T41)</f>
        <v>0</v>
      </c>
      <c r="AS33" s="56">
        <f t="shared" si="26"/>
        <v>0</v>
      </c>
      <c r="AT33">
        <f t="shared" si="27"/>
        <v>0</v>
      </c>
      <c r="AU33">
        <f t="shared" si="28"/>
        <v>0</v>
      </c>
    </row>
    <row r="34" spans="1:47">
      <c r="A34">
        <v>2031</v>
      </c>
      <c r="B34" s="56">
        <f>'Future Type Share'!L32*'Future EndUse Share'!AA42</f>
        <v>2108.2183343953661</v>
      </c>
      <c r="C34">
        <f>'Future Type Share'!C32*'Future Type Share'!I32*0.5*'Future EndUse Share'!P42</f>
        <v>0</v>
      </c>
      <c r="D34">
        <f>'Future Type Share'!H32*'Future EndUse Share'!P42</f>
        <v>0</v>
      </c>
      <c r="E34" s="56">
        <f t="shared" si="16"/>
        <v>0</v>
      </c>
      <c r="F34">
        <f t="shared" si="17"/>
        <v>0</v>
      </c>
      <c r="G34">
        <f t="shared" si="18"/>
        <v>0</v>
      </c>
      <c r="K34">
        <v>2031</v>
      </c>
      <c r="L34" s="56">
        <f>'Future Type Share'!L32*'Future EndUse Share'!Y42</f>
        <v>12205.369624602037</v>
      </c>
      <c r="M34" s="56">
        <f t="shared" si="19"/>
        <v>0</v>
      </c>
      <c r="N34" s="56">
        <f>'Future Type Share'!H32*'Future EndUse Share'!N42</f>
        <v>0</v>
      </c>
      <c r="O34" s="56">
        <f t="shared" si="20"/>
        <v>0</v>
      </c>
      <c r="P34" s="56">
        <f t="shared" si="21"/>
        <v>0</v>
      </c>
      <c r="Q34" s="56">
        <f t="shared" si="22"/>
        <v>0</v>
      </c>
      <c r="U34">
        <v>2031</v>
      </c>
      <c r="V34" s="56">
        <f t="shared" si="10"/>
        <v>0</v>
      </c>
      <c r="W34" s="56">
        <f t="shared" si="12"/>
        <v>0</v>
      </c>
      <c r="X34" s="56">
        <f t="shared" si="13"/>
        <v>0</v>
      </c>
      <c r="Y34" s="56">
        <f t="shared" si="14"/>
        <v>0</v>
      </c>
      <c r="Z34" s="56">
        <f t="shared" si="15"/>
        <v>0</v>
      </c>
      <c r="AA34" s="56">
        <f t="shared" si="11"/>
        <v>0</v>
      </c>
      <c r="AE34">
        <v>2031</v>
      </c>
      <c r="AF34" s="56">
        <f>'Future Type Share'!L32*('Future EndUse Share'!Z42+'Future EndUse Share'!AB42+'Future EndUse Share'!AC42+'Future EndUse Share'!AD42)</f>
        <v>9652.8423473448911</v>
      </c>
      <c r="AG34">
        <f>'Future Type Share'!C32*'Future Type Share'!K32*0.5*('Future EndUse Share'!Z42+'Future EndUse Share'!AB42+'Future EndUse Share'!AC42+'Future EndUse Share'!AD42)</f>
        <v>0</v>
      </c>
      <c r="AH34">
        <f>'Future Type Share'!C32*'Future Type Share'!I32*('Future EndUse Share'!O42+'Future EndUse Share'!Q42+'Future EndUse Share'!R42+'Future EndUse Share'!S42)</f>
        <v>8273.1598273999934</v>
      </c>
      <c r="AI34" s="56">
        <f t="shared" si="23"/>
        <v>0</v>
      </c>
      <c r="AJ34">
        <f t="shared" si="24"/>
        <v>0</v>
      </c>
      <c r="AK34">
        <f t="shared" si="25"/>
        <v>0</v>
      </c>
      <c r="AO34">
        <v>2031</v>
      </c>
      <c r="AP34" s="56">
        <f>'Future Type Share'!L32*('Future EndUse Share'!AE42)</f>
        <v>2897.3821061804761</v>
      </c>
      <c r="AQ34" s="56">
        <f>'Future Type Share'!J32*0.5*('Future EndUse Share'!T31)</f>
        <v>0</v>
      </c>
      <c r="AR34" s="56">
        <f>'Future Type Share'!H32*0.5*('Future EndUse Share'!T42)</f>
        <v>0</v>
      </c>
      <c r="AS34" s="56">
        <f t="shared" si="26"/>
        <v>0</v>
      </c>
      <c r="AT34">
        <f t="shared" si="27"/>
        <v>0</v>
      </c>
      <c r="AU34">
        <f t="shared" si="28"/>
        <v>0</v>
      </c>
    </row>
    <row r="35" spans="1:47">
      <c r="A35">
        <v>2032</v>
      </c>
      <c r="B35" s="56">
        <f>'Future Type Share'!L33*'Future EndUse Share'!AA43</f>
        <v>2127.8226788834277</v>
      </c>
      <c r="C35">
        <f>'Future Type Share'!C33*'Future Type Share'!I33*0.5*'Future EndUse Share'!P43</f>
        <v>0</v>
      </c>
      <c r="D35">
        <f>'Future Type Share'!H33*'Future EndUse Share'!P43</f>
        <v>0</v>
      </c>
      <c r="E35" s="56">
        <f t="shared" si="16"/>
        <v>0</v>
      </c>
      <c r="F35">
        <f t="shared" si="17"/>
        <v>0</v>
      </c>
      <c r="G35">
        <f t="shared" si="18"/>
        <v>0</v>
      </c>
      <c r="K35">
        <v>2032</v>
      </c>
      <c r="L35" s="56">
        <f>'Future Type Share'!L33*'Future EndUse Share'!Y43</f>
        <v>12512.00505695173</v>
      </c>
      <c r="M35" s="56">
        <f t="shared" si="19"/>
        <v>0</v>
      </c>
      <c r="N35" s="56">
        <f>'Future Type Share'!H33*'Future EndUse Share'!N43</f>
        <v>0</v>
      </c>
      <c r="O35" s="56">
        <f t="shared" si="20"/>
        <v>0</v>
      </c>
      <c r="P35" s="56">
        <f t="shared" si="21"/>
        <v>0</v>
      </c>
      <c r="Q35" s="56">
        <f t="shared" si="22"/>
        <v>0</v>
      </c>
      <c r="U35">
        <v>2032</v>
      </c>
      <c r="V35" s="56">
        <f t="shared" si="10"/>
        <v>0</v>
      </c>
      <c r="W35" s="56">
        <f t="shared" si="12"/>
        <v>0</v>
      </c>
      <c r="X35" s="56">
        <f t="shared" si="13"/>
        <v>0</v>
      </c>
      <c r="Y35" s="56">
        <f t="shared" si="14"/>
        <v>0</v>
      </c>
      <c r="Z35" s="56">
        <f t="shared" si="15"/>
        <v>0</v>
      </c>
      <c r="AA35" s="56">
        <f t="shared" si="11"/>
        <v>0</v>
      </c>
      <c r="AE35">
        <v>2032</v>
      </c>
      <c r="AF35" s="56">
        <f>'Future Type Share'!L33*('Future EndUse Share'!Z43+'Future EndUse Share'!AB43+'Future EndUse Share'!AC43+'Future EndUse Share'!AD43)</f>
        <v>9693.9610977021912</v>
      </c>
      <c r="AG35">
        <f>'Future Type Share'!C33*'Future Type Share'!K33*0.5*('Future EndUse Share'!Z43+'Future EndUse Share'!AB43+'Future EndUse Share'!AC43+'Future EndUse Share'!AD43)</f>
        <v>0</v>
      </c>
      <c r="AH35">
        <f>'Future Type Share'!C33*'Future Type Share'!I33*('Future EndUse Share'!O43+'Future EndUse Share'!Q43+'Future EndUse Share'!R43+'Future EndUse Share'!S43)</f>
        <v>8201.7892349688427</v>
      </c>
      <c r="AI35" s="56">
        <f t="shared" si="23"/>
        <v>0</v>
      </c>
      <c r="AJ35">
        <f t="shared" si="24"/>
        <v>0</v>
      </c>
      <c r="AK35">
        <f t="shared" si="25"/>
        <v>0</v>
      </c>
      <c r="AO35">
        <v>2032</v>
      </c>
      <c r="AP35" s="56">
        <f>'Future Type Share'!L33*('Future EndUse Share'!AE43)</f>
        <v>2928.1332462176074</v>
      </c>
      <c r="AQ35" s="56">
        <f>'Future Type Share'!J33*0.5*('Future EndUse Share'!T32)</f>
        <v>0</v>
      </c>
      <c r="AR35" s="56">
        <f>'Future Type Share'!H33*0.5*('Future EndUse Share'!T43)</f>
        <v>0</v>
      </c>
      <c r="AS35" s="56">
        <f t="shared" si="26"/>
        <v>0</v>
      </c>
      <c r="AT35">
        <f t="shared" si="27"/>
        <v>0</v>
      </c>
      <c r="AU35">
        <f t="shared" si="28"/>
        <v>0</v>
      </c>
    </row>
    <row r="36" spans="1:47">
      <c r="A36">
        <v>2033</v>
      </c>
      <c r="B36" s="56">
        <f>'Future Type Share'!L34*'Future EndUse Share'!AA44</f>
        <v>2147.4271147672689</v>
      </c>
      <c r="C36">
        <f>'Future Type Share'!C34*'Future Type Share'!I34*0.5*'Future EndUse Share'!P44</f>
        <v>0</v>
      </c>
      <c r="D36">
        <f>'Future Type Share'!H34*'Future EndUse Share'!P44</f>
        <v>0</v>
      </c>
      <c r="E36" s="56">
        <f t="shared" si="16"/>
        <v>0</v>
      </c>
      <c r="F36">
        <f t="shared" si="17"/>
        <v>0</v>
      </c>
      <c r="G36">
        <f t="shared" si="18"/>
        <v>0</v>
      </c>
      <c r="K36">
        <v>2033</v>
      </c>
      <c r="L36" s="56">
        <f>'Future Type Share'!L34*'Future EndUse Share'!Y44</f>
        <v>12822.199917561198</v>
      </c>
      <c r="M36" s="56">
        <f t="shared" si="19"/>
        <v>0</v>
      </c>
      <c r="N36" s="56">
        <f>'Future Type Share'!H34*'Future EndUse Share'!N44</f>
        <v>0</v>
      </c>
      <c r="O36" s="56">
        <f t="shared" si="20"/>
        <v>0</v>
      </c>
      <c r="P36" s="56">
        <f t="shared" si="21"/>
        <v>0</v>
      </c>
      <c r="Q36" s="56">
        <f t="shared" si="22"/>
        <v>0</v>
      </c>
      <c r="U36">
        <v>2033</v>
      </c>
      <c r="V36" s="56">
        <f t="shared" si="10"/>
        <v>0</v>
      </c>
      <c r="W36" s="56">
        <f t="shared" si="12"/>
        <v>0</v>
      </c>
      <c r="X36" s="56">
        <f t="shared" si="13"/>
        <v>0</v>
      </c>
      <c r="Y36" s="56">
        <f t="shared" si="14"/>
        <v>0</v>
      </c>
      <c r="Z36" s="56">
        <f t="shared" si="15"/>
        <v>0</v>
      </c>
      <c r="AA36" s="56">
        <f t="shared" si="11"/>
        <v>0</v>
      </c>
      <c r="AE36">
        <v>2033</v>
      </c>
      <c r="AF36" s="56">
        <f>'Future Type Share'!L34*('Future EndUse Share'!Z44+'Future EndUse Share'!AB44+'Future EndUse Share'!AC44+'Future EndUse Share'!AD44)</f>
        <v>9734.183931345553</v>
      </c>
      <c r="AG36">
        <f>'Future Type Share'!C34*'Future Type Share'!K34*0.5*('Future EndUse Share'!Z44+'Future EndUse Share'!AB44+'Future EndUse Share'!AC44+'Future EndUse Share'!AD44)</f>
        <v>0</v>
      </c>
      <c r="AH36">
        <f>'Future Type Share'!C34*'Future Type Share'!I34*('Future EndUse Share'!O44+'Future EndUse Share'!Q44+'Future EndUse Share'!R44+'Future EndUse Share'!S44)</f>
        <v>8127.68626164944</v>
      </c>
      <c r="AI36" s="56">
        <f t="shared" si="23"/>
        <v>0</v>
      </c>
      <c r="AJ36">
        <f t="shared" si="24"/>
        <v>0</v>
      </c>
      <c r="AK36">
        <f t="shared" si="25"/>
        <v>0</v>
      </c>
      <c r="AO36">
        <v>2033</v>
      </c>
      <c r="AP36" s="56">
        <f>'Future Type Share'!L34*('Future EndUse Share'!AE44)</f>
        <v>2958.9546874643552</v>
      </c>
      <c r="AQ36" s="56">
        <f>'Future Type Share'!J34*0.5*('Future EndUse Share'!T33)</f>
        <v>0</v>
      </c>
      <c r="AR36" s="56">
        <f>'Future Type Share'!H34*0.5*('Future EndUse Share'!T44)</f>
        <v>0</v>
      </c>
      <c r="AS36" s="56">
        <f t="shared" si="26"/>
        <v>0</v>
      </c>
      <c r="AT36">
        <f t="shared" si="27"/>
        <v>0</v>
      </c>
      <c r="AU36">
        <f t="shared" si="28"/>
        <v>0</v>
      </c>
    </row>
    <row r="37" spans="1:47">
      <c r="A37">
        <v>2034</v>
      </c>
      <c r="B37" s="56">
        <f>'Future Type Share'!L35*'Future EndUse Share'!AA45</f>
        <v>2167.138890063959</v>
      </c>
      <c r="C37">
        <f>'Future Type Share'!C35*'Future Type Share'!I35*0.5*'Future EndUse Share'!P45</f>
        <v>0</v>
      </c>
      <c r="D37">
        <f>'Future Type Share'!H35*'Future EndUse Share'!P45</f>
        <v>0</v>
      </c>
      <c r="E37" s="56">
        <f t="shared" si="16"/>
        <v>0</v>
      </c>
      <c r="F37">
        <f t="shared" si="17"/>
        <v>0</v>
      </c>
      <c r="G37">
        <f t="shared" si="18"/>
        <v>0</v>
      </c>
      <c r="K37">
        <v>2034</v>
      </c>
      <c r="L37" s="56">
        <f>'Future Type Share'!L35*'Future EndUse Share'!Y45</f>
        <v>13136.604339519447</v>
      </c>
      <c r="M37" s="56">
        <f t="shared" si="19"/>
        <v>0</v>
      </c>
      <c r="N37" s="56">
        <f>'Future Type Share'!H35*'Future EndUse Share'!N45</f>
        <v>0</v>
      </c>
      <c r="O37" s="56">
        <f t="shared" si="20"/>
        <v>0</v>
      </c>
      <c r="P37" s="56">
        <f t="shared" si="21"/>
        <v>0</v>
      </c>
      <c r="Q37" s="56">
        <f t="shared" si="22"/>
        <v>0</v>
      </c>
      <c r="U37">
        <v>2034</v>
      </c>
      <c r="V37" s="56">
        <f t="shared" si="10"/>
        <v>0</v>
      </c>
      <c r="W37" s="56">
        <f t="shared" si="12"/>
        <v>0</v>
      </c>
      <c r="X37" s="56">
        <f t="shared" si="13"/>
        <v>0</v>
      </c>
      <c r="Y37" s="56">
        <f t="shared" si="14"/>
        <v>0</v>
      </c>
      <c r="Z37" s="56">
        <f t="shared" si="15"/>
        <v>0</v>
      </c>
      <c r="AA37" s="56">
        <f t="shared" si="11"/>
        <v>0</v>
      </c>
      <c r="AE37">
        <v>2034</v>
      </c>
      <c r="AF37" s="56">
        <f>'Future Type Share'!L35*('Future EndUse Share'!Z45+'Future EndUse Share'!AB45+'Future EndUse Share'!AC45+'Future EndUse Share'!AD45)</f>
        <v>9773.9945403697675</v>
      </c>
      <c r="AG37">
        <f>'Future Type Share'!C35*'Future Type Share'!K35*0.5*('Future EndUse Share'!Z45+'Future EndUse Share'!AB45+'Future EndUse Share'!AC45+'Future EndUse Share'!AD45)</f>
        <v>0</v>
      </c>
      <c r="AH37">
        <f>'Future Type Share'!C35*'Future Type Share'!I35*('Future EndUse Share'!O45+'Future EndUse Share'!Q45+'Future EndUse Share'!R45+'Future EndUse Share'!S45)</f>
        <v>8051.2493309648744</v>
      </c>
      <c r="AI37" s="56">
        <f t="shared" si="23"/>
        <v>0</v>
      </c>
      <c r="AJ37">
        <f t="shared" si="24"/>
        <v>0</v>
      </c>
      <c r="AK37">
        <f t="shared" si="25"/>
        <v>0</v>
      </c>
      <c r="AO37">
        <v>2034</v>
      </c>
      <c r="AP37" s="56">
        <f>'Future Type Share'!L35*('Future EndUse Share'!AE45)</f>
        <v>2989.9944001479312</v>
      </c>
      <c r="AQ37" s="56">
        <f>'Future Type Share'!J35*0.5*('Future EndUse Share'!T34)</f>
        <v>0</v>
      </c>
      <c r="AR37" s="56">
        <f>'Future Type Share'!H35*0.5*('Future EndUse Share'!T45)</f>
        <v>0</v>
      </c>
      <c r="AS37" s="56">
        <f t="shared" si="26"/>
        <v>0</v>
      </c>
      <c r="AT37">
        <f t="shared" si="27"/>
        <v>0</v>
      </c>
      <c r="AU37">
        <f t="shared" si="28"/>
        <v>0</v>
      </c>
    </row>
    <row r="38" spans="1:47">
      <c r="A38">
        <v>2035</v>
      </c>
      <c r="B38" s="56">
        <f>'Future Type Share'!L36*'Future EndUse Share'!AA46</f>
        <v>2187.31335832282</v>
      </c>
      <c r="C38">
        <f>'Future Type Share'!C36*'Future Type Share'!I36*0.5*'Future EndUse Share'!P46</f>
        <v>0</v>
      </c>
      <c r="D38">
        <f>'Future Type Share'!H36*'Future EndUse Share'!P46</f>
        <v>0</v>
      </c>
      <c r="E38" s="56">
        <f t="shared" si="16"/>
        <v>0</v>
      </c>
      <c r="F38">
        <f t="shared" si="17"/>
        <v>0</v>
      </c>
      <c r="G38">
        <f t="shared" si="18"/>
        <v>0</v>
      </c>
      <c r="K38">
        <v>2035</v>
      </c>
      <c r="L38" s="56">
        <f>'Future Type Share'!L36*'Future EndUse Share'!Y46</f>
        <v>13457.433862513246</v>
      </c>
      <c r="M38" s="56">
        <f t="shared" si="19"/>
        <v>0</v>
      </c>
      <c r="N38" s="56">
        <f>'Future Type Share'!H36*'Future EndUse Share'!N46</f>
        <v>0</v>
      </c>
      <c r="O38" s="56">
        <f t="shared" si="20"/>
        <v>0</v>
      </c>
      <c r="P38" s="56">
        <f t="shared" si="21"/>
        <v>0</v>
      </c>
      <c r="Q38" s="56">
        <f t="shared" si="22"/>
        <v>0</v>
      </c>
      <c r="U38">
        <v>2035</v>
      </c>
      <c r="V38" s="56">
        <f t="shared" si="10"/>
        <v>0</v>
      </c>
      <c r="W38" s="56">
        <f t="shared" si="12"/>
        <v>0</v>
      </c>
      <c r="X38" s="56">
        <f t="shared" si="13"/>
        <v>0</v>
      </c>
      <c r="Y38" s="56">
        <f t="shared" si="14"/>
        <v>0</v>
      </c>
      <c r="Z38" s="56">
        <f t="shared" si="15"/>
        <v>0</v>
      </c>
      <c r="AA38" s="56">
        <f t="shared" si="11"/>
        <v>0</v>
      </c>
      <c r="AE38">
        <v>2035</v>
      </c>
      <c r="AF38" s="56">
        <f>'Future Type Share'!L36*('Future EndUse Share'!Z46+'Future EndUse Share'!AB46+'Future EndUse Share'!AC46+'Future EndUse Share'!AD46)</f>
        <v>9814.980116701985</v>
      </c>
      <c r="AG38">
        <f>'Future Type Share'!C36*'Future Type Share'!K36*0.5*('Future EndUse Share'!Z46+'Future EndUse Share'!AB46+'Future EndUse Share'!AC46+'Future EndUse Share'!AD46)</f>
        <v>0</v>
      </c>
      <c r="AH38">
        <f>'Future Type Share'!C36*'Future Type Share'!I36*('Future EndUse Share'!O46+'Future EndUse Share'!Q46+'Future EndUse Share'!R46+'Future EndUse Share'!S46)</f>
        <v>7973.7514244313525</v>
      </c>
      <c r="AI38" s="56">
        <f t="shared" si="23"/>
        <v>0</v>
      </c>
      <c r="AJ38">
        <f t="shared" si="24"/>
        <v>0</v>
      </c>
      <c r="AK38">
        <f t="shared" si="25"/>
        <v>0</v>
      </c>
      <c r="AO38">
        <v>2035</v>
      </c>
      <c r="AP38" s="56">
        <f>'Future Type Share'!L36*('Future EndUse Share'!AE46)</f>
        <v>3021.7438767442632</v>
      </c>
      <c r="AQ38" s="56">
        <f>'Future Type Share'!J36*0.5*('Future EndUse Share'!T35)</f>
        <v>0</v>
      </c>
      <c r="AR38" s="56">
        <f>'Future Type Share'!H36*0.5*('Future EndUse Share'!T46)</f>
        <v>0</v>
      </c>
      <c r="AS38" s="56">
        <f t="shared" si="26"/>
        <v>0</v>
      </c>
      <c r="AT38">
        <f t="shared" si="27"/>
        <v>0</v>
      </c>
      <c r="AU38">
        <f t="shared" si="28"/>
        <v>0</v>
      </c>
    </row>
    <row r="39" spans="1:47">
      <c r="A39">
        <v>2036</v>
      </c>
      <c r="B39" s="56">
        <f>'Future Type Share'!L37*'Future EndUse Share'!AA47</f>
        <v>2205.3150284462731</v>
      </c>
      <c r="C39">
        <f>'Future Type Share'!C37*'Future Type Share'!I37*0.5*'Future EndUse Share'!P47</f>
        <v>0</v>
      </c>
      <c r="D39">
        <f>'Future Type Share'!H37*'Future EndUse Share'!P47</f>
        <v>0</v>
      </c>
      <c r="E39" s="56">
        <f t="shared" si="16"/>
        <v>0</v>
      </c>
      <c r="F39">
        <f t="shared" si="17"/>
        <v>0</v>
      </c>
      <c r="G39">
        <f t="shared" si="18"/>
        <v>0</v>
      </c>
      <c r="K39">
        <v>2036</v>
      </c>
      <c r="L39" s="56">
        <f>'Future Type Share'!L37*'Future EndUse Share'!Y47</f>
        <v>13768.360416772854</v>
      </c>
      <c r="M39" s="56">
        <f t="shared" si="19"/>
        <v>0</v>
      </c>
      <c r="N39" s="56">
        <f>'Future Type Share'!H37*'Future EndUse Share'!N47</f>
        <v>0</v>
      </c>
      <c r="O39" s="56">
        <f t="shared" si="20"/>
        <v>0</v>
      </c>
      <c r="P39" s="56">
        <f t="shared" si="21"/>
        <v>0</v>
      </c>
      <c r="Q39" s="56">
        <f t="shared" si="22"/>
        <v>0</v>
      </c>
      <c r="U39">
        <v>2036</v>
      </c>
      <c r="V39" s="56">
        <f t="shared" si="10"/>
        <v>0</v>
      </c>
      <c r="W39" s="56">
        <f t="shared" si="12"/>
        <v>0</v>
      </c>
      <c r="X39" s="56">
        <f t="shared" si="13"/>
        <v>0</v>
      </c>
      <c r="Y39" s="56">
        <f t="shared" si="14"/>
        <v>0</v>
      </c>
      <c r="Z39" s="56">
        <f t="shared" si="15"/>
        <v>0</v>
      </c>
      <c r="AA39" s="56">
        <f t="shared" si="11"/>
        <v>0</v>
      </c>
      <c r="AE39">
        <v>2036</v>
      </c>
      <c r="AF39" s="56">
        <f>'Future Type Share'!L37*('Future EndUse Share'!Z47+'Future EndUse Share'!AB47+'Future EndUse Share'!AC47+'Future EndUse Share'!AD47)</f>
        <v>9845.3431197111022</v>
      </c>
      <c r="AG39">
        <f>'Future Type Share'!C37*'Future Type Share'!K37*0.5*('Future EndUse Share'!Z47+'Future EndUse Share'!AB47+'Future EndUse Share'!AC47+'Future EndUse Share'!AD47)</f>
        <v>0</v>
      </c>
      <c r="AH39">
        <f>'Future Type Share'!C37*'Future Type Share'!I37*('Future EndUse Share'!O47+'Future EndUse Share'!Q47+'Future EndUse Share'!R47+'Future EndUse Share'!S47)</f>
        <v>7885.671919898773</v>
      </c>
      <c r="AI39" s="56">
        <f t="shared" si="23"/>
        <v>0</v>
      </c>
      <c r="AJ39">
        <f t="shared" si="24"/>
        <v>0</v>
      </c>
      <c r="AK39">
        <f t="shared" si="25"/>
        <v>0</v>
      </c>
      <c r="AO39">
        <v>2036</v>
      </c>
      <c r="AP39" s="56">
        <f>'Future Type Share'!L37*('Future EndUse Share'!AE47)</f>
        <v>3050.5599892755481</v>
      </c>
      <c r="AQ39" s="56">
        <f>'Future Type Share'!J37*0.5*('Future EndUse Share'!T36)</f>
        <v>0</v>
      </c>
      <c r="AR39" s="56">
        <f>'Future Type Share'!H37*0.5*('Future EndUse Share'!T47)</f>
        <v>0</v>
      </c>
      <c r="AS39" s="56">
        <f t="shared" si="26"/>
        <v>0</v>
      </c>
      <c r="AT39">
        <f t="shared" si="27"/>
        <v>0</v>
      </c>
      <c r="AU39">
        <f t="shared" si="28"/>
        <v>0</v>
      </c>
    </row>
    <row r="40" spans="1:47">
      <c r="A40">
        <v>2037</v>
      </c>
      <c r="B40" s="56">
        <f>'Future Type Share'!L38*'Future EndUse Share'!AA48</f>
        <v>2223.4898879269322</v>
      </c>
      <c r="C40">
        <f>'Future Type Share'!C38*'Future Type Share'!I38*0.5*'Future EndUse Share'!P48</f>
        <v>0</v>
      </c>
      <c r="D40">
        <f>'Future Type Share'!H38*'Future EndUse Share'!P48</f>
        <v>0</v>
      </c>
      <c r="E40" s="56">
        <f t="shared" si="16"/>
        <v>0</v>
      </c>
      <c r="F40">
        <f t="shared" si="17"/>
        <v>0</v>
      </c>
      <c r="G40">
        <f t="shared" si="18"/>
        <v>0</v>
      </c>
      <c r="K40">
        <v>2037</v>
      </c>
      <c r="L40" s="56">
        <f>'Future Type Share'!L38*'Future EndUse Share'!Y48</f>
        <v>14083.651898041457</v>
      </c>
      <c r="M40" s="56">
        <f t="shared" si="19"/>
        <v>0</v>
      </c>
      <c r="N40" s="56">
        <f>'Future Type Share'!H38*'Future EndUse Share'!N48</f>
        <v>0</v>
      </c>
      <c r="O40" s="56">
        <f t="shared" si="20"/>
        <v>0</v>
      </c>
      <c r="P40" s="56">
        <f t="shared" si="21"/>
        <v>0</v>
      </c>
      <c r="Q40" s="56">
        <f t="shared" si="22"/>
        <v>0</v>
      </c>
      <c r="U40">
        <v>2037</v>
      </c>
      <c r="V40" s="56">
        <f t="shared" si="10"/>
        <v>0</v>
      </c>
      <c r="W40" s="56">
        <f t="shared" si="12"/>
        <v>0</v>
      </c>
      <c r="X40" s="56">
        <f t="shared" si="13"/>
        <v>0</v>
      </c>
      <c r="Y40" s="56">
        <f t="shared" si="14"/>
        <v>0</v>
      </c>
      <c r="Z40" s="56">
        <f t="shared" si="15"/>
        <v>0</v>
      </c>
      <c r="AA40" s="56">
        <f t="shared" si="11"/>
        <v>0</v>
      </c>
      <c r="AE40">
        <v>2037</v>
      </c>
      <c r="AF40" s="56">
        <f>'Future Type Share'!L38*('Future EndUse Share'!Z48+'Future EndUse Share'!AB48+'Future EndUse Share'!AC48+'Future EndUse Share'!AD48)</f>
        <v>9875.6522898912262</v>
      </c>
      <c r="AG40">
        <f>'Future Type Share'!C38*'Future Type Share'!K38*0.5*('Future EndUse Share'!Z48+'Future EndUse Share'!AB48+'Future EndUse Share'!AC48+'Future EndUse Share'!AD48)</f>
        <v>0</v>
      </c>
      <c r="AH40">
        <f>'Future Type Share'!C38*'Future Type Share'!I38*('Future EndUse Share'!O48+'Future EndUse Share'!Q48+'Future EndUse Share'!R48+'Future EndUse Share'!S48)</f>
        <v>7795.6903040347033</v>
      </c>
      <c r="AI40" s="56">
        <f t="shared" si="23"/>
        <v>0</v>
      </c>
      <c r="AJ40">
        <f t="shared" si="24"/>
        <v>0</v>
      </c>
      <c r="AK40">
        <f t="shared" si="25"/>
        <v>0</v>
      </c>
      <c r="AO40">
        <v>2037</v>
      </c>
      <c r="AP40" s="56">
        <f>'Future Type Share'!L38*('Future EndUse Share'!AE48)</f>
        <v>3079.6804188878887</v>
      </c>
      <c r="AQ40" s="56">
        <f>'Future Type Share'!J38*0.5*('Future EndUse Share'!T37)</f>
        <v>0</v>
      </c>
      <c r="AR40" s="56">
        <f>'Future Type Share'!H38*0.5*('Future EndUse Share'!T48)</f>
        <v>0</v>
      </c>
      <c r="AS40" s="56">
        <f t="shared" si="26"/>
        <v>0</v>
      </c>
      <c r="AT40">
        <f t="shared" si="27"/>
        <v>0</v>
      </c>
      <c r="AU40">
        <f t="shared" si="28"/>
        <v>0</v>
      </c>
    </row>
    <row r="41" spans="1:47">
      <c r="A41">
        <v>2038</v>
      </c>
      <c r="B41" s="56">
        <f>'Future Type Share'!L39*'Future EndUse Share'!AA49</f>
        <v>2240.8130958501151</v>
      </c>
      <c r="C41">
        <f>'Future Type Share'!C39*'Future Type Share'!I39*0.5*'Future EndUse Share'!P49</f>
        <v>0</v>
      </c>
      <c r="D41">
        <f>'Future Type Share'!H39*'Future EndUse Share'!P49</f>
        <v>0</v>
      </c>
      <c r="E41" s="56">
        <f t="shared" si="16"/>
        <v>0</v>
      </c>
      <c r="F41">
        <f t="shared" si="17"/>
        <v>0</v>
      </c>
      <c r="G41">
        <f t="shared" si="18"/>
        <v>0</v>
      </c>
      <c r="K41">
        <v>2038</v>
      </c>
      <c r="L41" s="56">
        <f>'Future Type Share'!L39*'Future EndUse Share'!Y49</f>
        <v>14396.771070653911</v>
      </c>
      <c r="M41" s="56">
        <f t="shared" si="19"/>
        <v>0</v>
      </c>
      <c r="N41" s="56">
        <f>'Future Type Share'!H39*'Future EndUse Share'!N49</f>
        <v>0</v>
      </c>
      <c r="O41" s="56">
        <f t="shared" si="20"/>
        <v>0</v>
      </c>
      <c r="P41" s="56">
        <f t="shared" si="21"/>
        <v>0</v>
      </c>
      <c r="Q41" s="56">
        <f t="shared" si="22"/>
        <v>0</v>
      </c>
      <c r="U41">
        <v>2038</v>
      </c>
      <c r="V41" s="56">
        <f t="shared" si="10"/>
        <v>0</v>
      </c>
      <c r="W41" s="56">
        <f t="shared" si="12"/>
        <v>0</v>
      </c>
      <c r="X41" s="56">
        <f t="shared" si="13"/>
        <v>0</v>
      </c>
      <c r="Y41" s="56">
        <f t="shared" si="14"/>
        <v>0</v>
      </c>
      <c r="Z41" s="56">
        <f t="shared" si="15"/>
        <v>0</v>
      </c>
      <c r="AA41" s="56">
        <f t="shared" si="11"/>
        <v>0</v>
      </c>
      <c r="AE41">
        <v>2038</v>
      </c>
      <c r="AF41" s="56">
        <f>'Future Type Share'!L39*('Future EndUse Share'!Z49+'Future EndUse Share'!AB49+'Future EndUse Share'!AC49+'Future EndUse Share'!AD49)</f>
        <v>9901.3673370013476</v>
      </c>
      <c r="AG41">
        <f>'Future Type Share'!C39*'Future Type Share'!K39*0.5*('Future EndUse Share'!Z49+'Future EndUse Share'!AB49+'Future EndUse Share'!AC49+'Future EndUse Share'!AD49)</f>
        <v>0</v>
      </c>
      <c r="AH41">
        <f>'Future Type Share'!C39*'Future Type Share'!I39*('Future EndUse Share'!O49+'Future EndUse Share'!Q49+'Future EndUse Share'!R49+'Future EndUse Share'!S49)</f>
        <v>7700.2486384667282</v>
      </c>
      <c r="AI41" s="56">
        <f t="shared" si="23"/>
        <v>0</v>
      </c>
      <c r="AJ41">
        <f t="shared" si="24"/>
        <v>0</v>
      </c>
      <c r="AK41">
        <f t="shared" si="25"/>
        <v>0</v>
      </c>
      <c r="AO41">
        <v>2038</v>
      </c>
      <c r="AP41" s="56">
        <f>'Future Type Share'!L39*('Future EndUse Share'!AE49)</f>
        <v>3107.6847888631482</v>
      </c>
      <c r="AQ41" s="56">
        <f>'Future Type Share'!J39*0.5*('Future EndUse Share'!T38)</f>
        <v>0</v>
      </c>
      <c r="AR41" s="56">
        <f>'Future Type Share'!H39*0.5*('Future EndUse Share'!T49)</f>
        <v>0</v>
      </c>
      <c r="AS41" s="56">
        <f t="shared" si="26"/>
        <v>0</v>
      </c>
      <c r="AT41">
        <f t="shared" si="27"/>
        <v>0</v>
      </c>
      <c r="AU41">
        <f t="shared" si="28"/>
        <v>0</v>
      </c>
    </row>
    <row r="42" spans="1:47">
      <c r="A42">
        <v>2039</v>
      </c>
      <c r="B42" s="56">
        <f>'Future Type Share'!L40*'Future EndUse Share'!AA50</f>
        <v>2256.9113625004566</v>
      </c>
      <c r="C42">
        <f>'Future Type Share'!C40*'Future Type Share'!I40*0.5*'Future EndUse Share'!P50</f>
        <v>0</v>
      </c>
      <c r="D42">
        <f>'Future Type Share'!H40*'Future EndUse Share'!P50</f>
        <v>0</v>
      </c>
      <c r="E42" s="56">
        <f t="shared" si="16"/>
        <v>0</v>
      </c>
      <c r="F42">
        <f t="shared" si="17"/>
        <v>0</v>
      </c>
      <c r="G42">
        <f t="shared" si="18"/>
        <v>0</v>
      </c>
      <c r="K42">
        <v>2039</v>
      </c>
      <c r="L42" s="56">
        <f>'Future Type Share'!L40*'Future EndUse Share'!Y50</f>
        <v>14705.053833654752</v>
      </c>
      <c r="M42" s="56">
        <f t="shared" si="19"/>
        <v>0</v>
      </c>
      <c r="N42" s="56">
        <f>'Future Type Share'!H40*'Future EndUse Share'!N50</f>
        <v>0</v>
      </c>
      <c r="O42" s="56">
        <f t="shared" si="20"/>
        <v>0</v>
      </c>
      <c r="P42" s="56">
        <f t="shared" si="21"/>
        <v>0</v>
      </c>
      <c r="Q42" s="56">
        <f t="shared" si="22"/>
        <v>0</v>
      </c>
      <c r="U42">
        <v>2039</v>
      </c>
      <c r="V42" s="56">
        <f t="shared" si="10"/>
        <v>0</v>
      </c>
      <c r="W42" s="56">
        <f t="shared" si="12"/>
        <v>0</v>
      </c>
      <c r="X42" s="56">
        <f t="shared" si="13"/>
        <v>0</v>
      </c>
      <c r="Y42" s="56">
        <f t="shared" si="14"/>
        <v>0</v>
      </c>
      <c r="Z42" s="56">
        <f t="shared" si="15"/>
        <v>0</v>
      </c>
      <c r="AA42" s="56">
        <f t="shared" si="11"/>
        <v>0</v>
      </c>
      <c r="AE42">
        <v>2039</v>
      </c>
      <c r="AF42" s="56">
        <f>'Future Type Share'!L40*('Future EndUse Share'!Z50+'Future EndUse Share'!AB50+'Future EndUse Share'!AC50+'Future EndUse Share'!AD50)</f>
        <v>9920.905765870606</v>
      </c>
      <c r="AG42">
        <f>'Future Type Share'!C40*'Future Type Share'!K40*0.5*('Future EndUse Share'!Z50+'Future EndUse Share'!AB50+'Future EndUse Share'!AC50+'Future EndUse Share'!AD50)</f>
        <v>0</v>
      </c>
      <c r="AH42">
        <f>'Future Type Share'!C40*'Future Type Share'!I40*('Future EndUse Share'!O50+'Future EndUse Share'!Q50+'Future EndUse Share'!R50+'Future EndUse Share'!S50)</f>
        <v>7598.2682537515029</v>
      </c>
      <c r="AI42" s="56">
        <f t="shared" si="23"/>
        <v>0</v>
      </c>
      <c r="AJ42">
        <f t="shared" si="24"/>
        <v>0</v>
      </c>
      <c r="AK42">
        <f t="shared" si="25"/>
        <v>0</v>
      </c>
      <c r="AO42">
        <v>2039</v>
      </c>
      <c r="AP42" s="56">
        <f>'Future Type Share'!L40*('Future EndUse Share'!AE50)</f>
        <v>3134.0501592302917</v>
      </c>
      <c r="AQ42" s="56">
        <f>'Future Type Share'!J40*0.5*('Future EndUse Share'!T39)</f>
        <v>0</v>
      </c>
      <c r="AR42" s="56">
        <f>'Future Type Share'!H40*0.5*('Future EndUse Share'!T50)</f>
        <v>0</v>
      </c>
      <c r="AS42" s="56">
        <f t="shared" si="26"/>
        <v>0</v>
      </c>
      <c r="AT42">
        <f t="shared" si="27"/>
        <v>0</v>
      </c>
      <c r="AU42">
        <f t="shared" si="28"/>
        <v>0</v>
      </c>
    </row>
    <row r="43" spans="1:47">
      <c r="A43">
        <v>2040</v>
      </c>
      <c r="B43" s="56">
        <f>'Future Type Share'!L41*'Future EndUse Share'!AA51</f>
        <v>2271.7686744930829</v>
      </c>
      <c r="C43">
        <f>'Future Type Share'!C41*'Future Type Share'!I41*0.5*'Future EndUse Share'!P51</f>
        <v>0</v>
      </c>
      <c r="D43">
        <f>'Future Type Share'!H41*'Future EndUse Share'!P51</f>
        <v>0</v>
      </c>
      <c r="E43" s="56">
        <f t="shared" si="16"/>
        <v>0</v>
      </c>
      <c r="F43">
        <f t="shared" si="17"/>
        <v>0</v>
      </c>
      <c r="G43">
        <f t="shared" si="18"/>
        <v>0</v>
      </c>
      <c r="K43">
        <v>2040</v>
      </c>
      <c r="L43" s="56">
        <f>'Future Type Share'!L41*'Future EndUse Share'!Y51</f>
        <v>15008.060841979948</v>
      </c>
      <c r="M43" s="56">
        <f t="shared" si="19"/>
        <v>0</v>
      </c>
      <c r="N43" s="56">
        <f>'Future Type Share'!H41*'Future EndUse Share'!N51</f>
        <v>0</v>
      </c>
      <c r="O43" s="56">
        <f t="shared" si="20"/>
        <v>0</v>
      </c>
      <c r="P43" s="56">
        <f t="shared" si="21"/>
        <v>0</v>
      </c>
      <c r="Q43" s="56">
        <f t="shared" si="22"/>
        <v>0</v>
      </c>
      <c r="U43">
        <v>2040</v>
      </c>
      <c r="V43" s="56">
        <f t="shared" si="10"/>
        <v>0</v>
      </c>
      <c r="W43" s="56">
        <f t="shared" si="12"/>
        <v>0</v>
      </c>
      <c r="X43" s="56">
        <f t="shared" si="13"/>
        <v>0</v>
      </c>
      <c r="Y43" s="56">
        <f t="shared" si="14"/>
        <v>0</v>
      </c>
      <c r="Z43" s="56">
        <f t="shared" si="15"/>
        <v>0</v>
      </c>
      <c r="AA43" s="56">
        <f t="shared" si="11"/>
        <v>0</v>
      </c>
      <c r="AE43">
        <v>2040</v>
      </c>
      <c r="AF43" s="56">
        <f>'Future Type Share'!L41*('Future EndUse Share'!Z51+'Future EndUse Share'!AB51+'Future EndUse Share'!AC51+'Future EndUse Share'!AD51)</f>
        <v>9934.281559497018</v>
      </c>
      <c r="AG43">
        <f>'Future Type Share'!C41*'Future Type Share'!K41*0.5*('Future EndUse Share'!Z51+'Future EndUse Share'!AB51+'Future EndUse Share'!AC51+'Future EndUse Share'!AD51)</f>
        <v>0</v>
      </c>
      <c r="AH43">
        <f>'Future Type Share'!C41*'Future Type Share'!I41*('Future EndUse Share'!O51+'Future EndUse Share'!Q51+'Future EndUse Share'!R51+'Future EndUse Share'!S51)</f>
        <v>7489.9524783286724</v>
      </c>
      <c r="AI43" s="56">
        <f t="shared" si="23"/>
        <v>0</v>
      </c>
      <c r="AJ43">
        <f t="shared" si="24"/>
        <v>0</v>
      </c>
      <c r="AK43">
        <f t="shared" si="25"/>
        <v>0</v>
      </c>
      <c r="AO43">
        <v>2040</v>
      </c>
      <c r="AP43" s="56">
        <f>'Future Type Share'!L41*('Future EndUse Share'!AE51)</f>
        <v>3158.747687252669</v>
      </c>
      <c r="AQ43" s="56">
        <f>'Future Type Share'!J41*0.5*('Future EndUse Share'!T40)</f>
        <v>0</v>
      </c>
      <c r="AR43" s="56">
        <f>'Future Type Share'!H41*0.5*('Future EndUse Share'!T51)</f>
        <v>0</v>
      </c>
      <c r="AS43" s="56">
        <f t="shared" si="26"/>
        <v>0</v>
      </c>
      <c r="AT43">
        <f t="shared" si="27"/>
        <v>0</v>
      </c>
      <c r="AU43">
        <f t="shared" si="28"/>
        <v>0</v>
      </c>
    </row>
    <row r="44" spans="1:47">
      <c r="A44">
        <v>2041</v>
      </c>
      <c r="B44" s="56">
        <f>'Future Type Share'!L42*'Future EndUse Share'!AA52</f>
        <v>2285.4530135160949</v>
      </c>
      <c r="C44">
        <f>'Future Type Share'!C42*'Future Type Share'!I42*0.5*'Future EndUse Share'!P52</f>
        <v>0</v>
      </c>
      <c r="D44">
        <f>'Future Type Share'!H42*'Future EndUse Share'!P52</f>
        <v>0</v>
      </c>
      <c r="E44" s="56">
        <f t="shared" si="16"/>
        <v>0</v>
      </c>
      <c r="F44">
        <f t="shared" si="17"/>
        <v>0</v>
      </c>
      <c r="G44">
        <f t="shared" si="18"/>
        <v>0</v>
      </c>
      <c r="K44">
        <v>2041</v>
      </c>
      <c r="L44" s="56">
        <f>'Future Type Share'!L42*'Future EndUse Share'!Y52</f>
        <v>15305.909460052488</v>
      </c>
      <c r="M44" s="56">
        <f t="shared" si="19"/>
        <v>0</v>
      </c>
      <c r="N44" s="56">
        <f>'Future Type Share'!H42*'Future EndUse Share'!N52</f>
        <v>0</v>
      </c>
      <c r="O44" s="56">
        <f t="shared" si="20"/>
        <v>0</v>
      </c>
      <c r="P44" s="56">
        <f t="shared" si="21"/>
        <v>0</v>
      </c>
      <c r="Q44" s="56">
        <f t="shared" si="22"/>
        <v>0</v>
      </c>
      <c r="U44">
        <v>2041</v>
      </c>
      <c r="V44" s="56">
        <f t="shared" si="10"/>
        <v>0</v>
      </c>
      <c r="W44" s="56">
        <f t="shared" si="12"/>
        <v>0</v>
      </c>
      <c r="X44" s="56">
        <f t="shared" si="13"/>
        <v>0</v>
      </c>
      <c r="Y44" s="56">
        <f t="shared" si="14"/>
        <v>0</v>
      </c>
      <c r="Z44" s="56">
        <f t="shared" si="15"/>
        <v>0</v>
      </c>
      <c r="AA44" s="56">
        <f t="shared" si="11"/>
        <v>0</v>
      </c>
      <c r="AE44">
        <v>2041</v>
      </c>
      <c r="AF44" s="56">
        <f>'Future Type Share'!L42*('Future EndUse Share'!Z52+'Future EndUse Share'!AB52+'Future EndUse Share'!AC52+'Future EndUse Share'!AD52)</f>
        <v>9941.8755494378056</v>
      </c>
      <c r="AG44">
        <f>'Future Type Share'!C42*'Future Type Share'!K42*0.5*('Future EndUse Share'!Z52+'Future EndUse Share'!AB52+'Future EndUse Share'!AC52+'Future EndUse Share'!AD52)</f>
        <v>0</v>
      </c>
      <c r="AH44">
        <f>'Future Type Share'!C42*'Future Type Share'!I42*('Future EndUse Share'!O52+'Future EndUse Share'!Q52+'Future EndUse Share'!R52+'Future EndUse Share'!S52)</f>
        <v>7375.7801799837853</v>
      </c>
      <c r="AI44" s="56">
        <f t="shared" si="23"/>
        <v>0</v>
      </c>
      <c r="AJ44">
        <f t="shared" si="24"/>
        <v>0</v>
      </c>
      <c r="AK44">
        <f t="shared" si="25"/>
        <v>0</v>
      </c>
      <c r="AO44">
        <v>2041</v>
      </c>
      <c r="AP44" s="56">
        <f>'Future Type Share'!L42*('Future EndUse Share'!AE52)</f>
        <v>3181.8653556114086</v>
      </c>
      <c r="AQ44" s="56">
        <f>'Future Type Share'!J42*0.5*('Future EndUse Share'!T41)</f>
        <v>0</v>
      </c>
      <c r="AR44" s="56">
        <f>'Future Type Share'!H42*0.5*('Future EndUse Share'!T52)</f>
        <v>0</v>
      </c>
      <c r="AS44" s="56">
        <f t="shared" si="26"/>
        <v>0</v>
      </c>
      <c r="AT44">
        <f t="shared" si="27"/>
        <v>0</v>
      </c>
      <c r="AU44">
        <f t="shared" si="28"/>
        <v>0</v>
      </c>
    </row>
    <row r="45" spans="1:47">
      <c r="A45">
        <v>2042</v>
      </c>
      <c r="B45" s="56">
        <f>'Future Type Share'!L43*'Future EndUse Share'!AA53</f>
        <v>2298.0898439983134</v>
      </c>
      <c r="C45">
        <f>'Future Type Share'!C43*'Future Type Share'!I43*0.5*'Future EndUse Share'!P53</f>
        <v>0</v>
      </c>
      <c r="D45">
        <f>'Future Type Share'!H43*'Future EndUse Share'!P53</f>
        <v>0</v>
      </c>
      <c r="E45" s="56">
        <f t="shared" si="16"/>
        <v>0</v>
      </c>
      <c r="F45">
        <f t="shared" si="17"/>
        <v>0</v>
      </c>
      <c r="G45">
        <f t="shared" si="18"/>
        <v>0</v>
      </c>
      <c r="K45">
        <v>2042</v>
      </c>
      <c r="L45" s="56">
        <f>'Future Type Share'!L43*'Future EndUse Share'!Y53</f>
        <v>15599.13191975297</v>
      </c>
      <c r="M45" s="56">
        <f t="shared" si="19"/>
        <v>0</v>
      </c>
      <c r="N45" s="56">
        <f>'Future Type Share'!H43*'Future EndUse Share'!N53</f>
        <v>0</v>
      </c>
      <c r="O45" s="56">
        <f t="shared" si="20"/>
        <v>0</v>
      </c>
      <c r="P45" s="56">
        <f t="shared" si="21"/>
        <v>0</v>
      </c>
      <c r="Q45" s="56">
        <f t="shared" si="22"/>
        <v>0</v>
      </c>
      <c r="U45">
        <v>2042</v>
      </c>
      <c r="V45" s="56">
        <f t="shared" si="10"/>
        <v>0</v>
      </c>
      <c r="W45" s="56">
        <f t="shared" si="12"/>
        <v>0</v>
      </c>
      <c r="X45" s="56">
        <f t="shared" si="13"/>
        <v>0</v>
      </c>
      <c r="Y45" s="56">
        <f t="shared" si="14"/>
        <v>0</v>
      </c>
      <c r="Z45" s="56">
        <f t="shared" si="15"/>
        <v>0</v>
      </c>
      <c r="AA45" s="56">
        <f t="shared" si="11"/>
        <v>0</v>
      </c>
      <c r="AE45">
        <v>2042</v>
      </c>
      <c r="AF45" s="56">
        <f>'Future Type Share'!L43*('Future EndUse Share'!Z53+'Future EndUse Share'!AB53+'Future EndUse Share'!AC53+'Future EndUse Share'!AD53)</f>
        <v>9944.3110905972499</v>
      </c>
      <c r="AG45">
        <f>'Future Type Share'!C43*'Future Type Share'!K43*0.5*('Future EndUse Share'!Z53+'Future EndUse Share'!AB53+'Future EndUse Share'!AC53+'Future EndUse Share'!AD53)</f>
        <v>0</v>
      </c>
      <c r="AH45">
        <f>'Future Type Share'!C43*'Future Type Share'!I43*('Future EndUse Share'!O53+'Future EndUse Share'!Q53+'Future EndUse Share'!R53+'Future EndUse Share'!S53)</f>
        <v>7256.3927801401496</v>
      </c>
      <c r="AI45" s="56">
        <f t="shared" si="23"/>
        <v>0</v>
      </c>
      <c r="AJ45">
        <f t="shared" si="24"/>
        <v>0</v>
      </c>
      <c r="AK45">
        <f t="shared" si="25"/>
        <v>0</v>
      </c>
      <c r="AO45">
        <v>2042</v>
      </c>
      <c r="AP45" s="56">
        <f>'Future Type Share'!L43*('Future EndUse Share'!AE53)</f>
        <v>3203.5717654832097</v>
      </c>
      <c r="AQ45" s="56">
        <f>'Future Type Share'!J43*0.5*('Future EndUse Share'!T42)</f>
        <v>0</v>
      </c>
      <c r="AR45" s="56">
        <f>'Future Type Share'!H43*0.5*('Future EndUse Share'!T53)</f>
        <v>0</v>
      </c>
      <c r="AS45" s="56">
        <f t="shared" si="26"/>
        <v>0</v>
      </c>
      <c r="AT45">
        <f t="shared" si="27"/>
        <v>0</v>
      </c>
      <c r="AU45">
        <f t="shared" si="28"/>
        <v>0</v>
      </c>
    </row>
    <row r="46" spans="1:47">
      <c r="A46">
        <v>2043</v>
      </c>
      <c r="B46" s="56">
        <f>'Future Type Share'!L44*'Future EndUse Share'!AA54</f>
        <v>2309.9761650996306</v>
      </c>
      <c r="C46">
        <f>'Future Type Share'!C44*'Future Type Share'!I44*0.5*'Future EndUse Share'!P54</f>
        <v>0</v>
      </c>
      <c r="D46">
        <f>'Future Type Share'!H44*'Future EndUse Share'!P54</f>
        <v>0</v>
      </c>
      <c r="E46" s="56">
        <f t="shared" si="16"/>
        <v>0</v>
      </c>
      <c r="F46">
        <f t="shared" si="17"/>
        <v>0</v>
      </c>
      <c r="G46">
        <f t="shared" si="18"/>
        <v>0</v>
      </c>
      <c r="K46">
        <v>2043</v>
      </c>
      <c r="L46" s="56">
        <f>'Future Type Share'!L44*'Future EndUse Share'!Y54</f>
        <v>15889.485930462852</v>
      </c>
      <c r="M46" s="56">
        <f t="shared" si="19"/>
        <v>0</v>
      </c>
      <c r="N46" s="56">
        <f>'Future Type Share'!H44*'Future EndUse Share'!N54</f>
        <v>0</v>
      </c>
      <c r="O46" s="56">
        <f t="shared" si="20"/>
        <v>0</v>
      </c>
      <c r="P46" s="56">
        <f t="shared" si="21"/>
        <v>0</v>
      </c>
      <c r="Q46" s="56">
        <f t="shared" si="22"/>
        <v>0</v>
      </c>
      <c r="U46">
        <v>2043</v>
      </c>
      <c r="V46" s="56">
        <f t="shared" si="10"/>
        <v>0</v>
      </c>
      <c r="W46" s="56">
        <f t="shared" si="12"/>
        <v>0</v>
      </c>
      <c r="X46" s="56">
        <f t="shared" si="13"/>
        <v>0</v>
      </c>
      <c r="Y46" s="56">
        <f t="shared" si="14"/>
        <v>0</v>
      </c>
      <c r="Z46" s="56">
        <f t="shared" si="15"/>
        <v>0</v>
      </c>
      <c r="AA46" s="56">
        <f t="shared" si="11"/>
        <v>0</v>
      </c>
      <c r="AE46">
        <v>2043</v>
      </c>
      <c r="AF46" s="56">
        <f>'Future Type Share'!L44*('Future EndUse Share'!Z54+'Future EndUse Share'!AB54+'Future EndUse Share'!AC54+'Future EndUse Share'!AD54)</f>
        <v>9942.9384101142132</v>
      </c>
      <c r="AG46">
        <f>'Future Type Share'!C44*'Future Type Share'!K44*0.5*('Future EndUse Share'!Z54+'Future EndUse Share'!AB54+'Future EndUse Share'!AC54+'Future EndUse Share'!AD54)</f>
        <v>0</v>
      </c>
      <c r="AH46">
        <f>'Future Type Share'!C44*'Future Type Share'!I44*('Future EndUse Share'!O54+'Future EndUse Share'!Q54+'Future EndUse Share'!R54+'Future EndUse Share'!S54)</f>
        <v>7132.9264007167549</v>
      </c>
      <c r="AI46" s="56">
        <f t="shared" si="23"/>
        <v>0</v>
      </c>
      <c r="AJ46">
        <f t="shared" si="24"/>
        <v>0</v>
      </c>
      <c r="AK46">
        <f t="shared" si="25"/>
        <v>0</v>
      </c>
      <c r="AO46">
        <v>2043</v>
      </c>
      <c r="AP46" s="56">
        <f>'Future Type Share'!L44*('Future EndUse Share'!AE54)</f>
        <v>3224.2758452670546</v>
      </c>
      <c r="AQ46" s="56">
        <f>'Future Type Share'!J44*0.5*('Future EndUse Share'!T43)</f>
        <v>0</v>
      </c>
      <c r="AR46" s="56">
        <f>'Future Type Share'!H44*0.5*('Future EndUse Share'!T54)</f>
        <v>0</v>
      </c>
      <c r="AS46" s="56">
        <f t="shared" si="26"/>
        <v>0</v>
      </c>
      <c r="AT46">
        <f t="shared" si="27"/>
        <v>0</v>
      </c>
      <c r="AU46">
        <f t="shared" si="28"/>
        <v>0</v>
      </c>
    </row>
    <row r="47" spans="1:47">
      <c r="A47">
        <v>2044</v>
      </c>
      <c r="B47" s="56">
        <f>'Future Type Share'!L45*'Future EndUse Share'!AA55</f>
        <v>2320.8750355723155</v>
      </c>
      <c r="C47">
        <f>'Future Type Share'!C45*'Future Type Share'!I45*0.5*'Future EndUse Share'!P55</f>
        <v>0</v>
      </c>
      <c r="D47">
        <f>'Future Type Share'!H45*'Future EndUse Share'!P55</f>
        <v>0</v>
      </c>
      <c r="E47" s="56">
        <f t="shared" si="16"/>
        <v>0</v>
      </c>
      <c r="F47">
        <f t="shared" si="17"/>
        <v>0</v>
      </c>
      <c r="G47">
        <f t="shared" si="18"/>
        <v>0</v>
      </c>
      <c r="K47">
        <v>2044</v>
      </c>
      <c r="L47" s="56">
        <f>'Future Type Share'!L45*'Future EndUse Share'!Y55</f>
        <v>16175.115786867154</v>
      </c>
      <c r="M47" s="56">
        <f t="shared" si="19"/>
        <v>0</v>
      </c>
      <c r="N47" s="56">
        <f>'Future Type Share'!H45*'Future EndUse Share'!N55</f>
        <v>0</v>
      </c>
      <c r="O47" s="56">
        <f t="shared" si="20"/>
        <v>0</v>
      </c>
      <c r="P47" s="56">
        <f t="shared" si="21"/>
        <v>0</v>
      </c>
      <c r="Q47" s="56">
        <f t="shared" si="22"/>
        <v>0</v>
      </c>
      <c r="U47">
        <v>2044</v>
      </c>
      <c r="V47" s="56">
        <f t="shared" si="10"/>
        <v>0</v>
      </c>
      <c r="W47" s="56">
        <f t="shared" si="12"/>
        <v>0</v>
      </c>
      <c r="X47" s="56">
        <f t="shared" si="13"/>
        <v>0</v>
      </c>
      <c r="Y47" s="56">
        <f t="shared" si="14"/>
        <v>0</v>
      </c>
      <c r="Z47" s="56">
        <f t="shared" si="15"/>
        <v>0</v>
      </c>
      <c r="AA47" s="56">
        <f t="shared" si="11"/>
        <v>0</v>
      </c>
      <c r="AE47">
        <v>2044</v>
      </c>
      <c r="AF47" s="56">
        <f>'Future Type Share'!L45*('Future EndUse Share'!Z55+'Future EndUse Share'!AB55+'Future EndUse Share'!AC55+'Future EndUse Share'!AD55)</f>
        <v>9936.7945184014334</v>
      </c>
      <c r="AG47">
        <f>'Future Type Share'!C45*'Future Type Share'!K45*0.5*('Future EndUse Share'!Z55+'Future EndUse Share'!AB55+'Future EndUse Share'!AC55+'Future EndUse Share'!AD55)</f>
        <v>0</v>
      </c>
      <c r="AH47">
        <f>'Future Type Share'!C45*'Future Type Share'!I45*('Future EndUse Share'!O55+'Future EndUse Share'!Q55+'Future EndUse Share'!R55+'Future EndUse Share'!S55)</f>
        <v>7004.8228346364558</v>
      </c>
      <c r="AI47" s="56">
        <f t="shared" si="23"/>
        <v>0</v>
      </c>
      <c r="AJ47">
        <f t="shared" si="24"/>
        <v>0</v>
      </c>
      <c r="AK47">
        <f t="shared" si="25"/>
        <v>0</v>
      </c>
      <c r="AO47">
        <v>2044</v>
      </c>
      <c r="AP47" s="56">
        <f>'Future Type Share'!L45*('Future EndUse Share'!AE55)</f>
        <v>3243.6424173945697</v>
      </c>
      <c r="AQ47" s="56">
        <f>'Future Type Share'!J45*0.5*('Future EndUse Share'!T44)</f>
        <v>0</v>
      </c>
      <c r="AR47" s="56">
        <f>'Future Type Share'!H45*0.5*('Future EndUse Share'!T55)</f>
        <v>0</v>
      </c>
      <c r="AS47" s="56">
        <f t="shared" si="26"/>
        <v>0</v>
      </c>
      <c r="AT47">
        <f t="shared" si="27"/>
        <v>0</v>
      </c>
      <c r="AU47">
        <f t="shared" si="28"/>
        <v>0</v>
      </c>
    </row>
    <row r="48" spans="1:47">
      <c r="A48">
        <v>2045</v>
      </c>
      <c r="B48" s="56">
        <f>'Future Type Share'!L46*'Future EndUse Share'!AA56</f>
        <v>2330.830579409213</v>
      </c>
      <c r="C48">
        <f>'Future Type Share'!C46*'Future Type Share'!I46*0.5*'Future EndUse Share'!P56</f>
        <v>0</v>
      </c>
      <c r="D48">
        <f>'Future Type Share'!H46*'Future EndUse Share'!P56</f>
        <v>0</v>
      </c>
      <c r="E48" s="56">
        <f t="shared" si="16"/>
        <v>0</v>
      </c>
      <c r="F48">
        <f t="shared" si="17"/>
        <v>0</v>
      </c>
      <c r="G48">
        <f t="shared" si="18"/>
        <v>0</v>
      </c>
      <c r="K48">
        <v>2045</v>
      </c>
      <c r="L48" s="56">
        <f>'Future Type Share'!L46*'Future EndUse Share'!Y56</f>
        <v>16456.064126063186</v>
      </c>
      <c r="M48" s="56">
        <f t="shared" si="19"/>
        <v>0</v>
      </c>
      <c r="N48" s="56">
        <f>'Future Type Share'!H46*'Future EndUse Share'!N56</f>
        <v>0</v>
      </c>
      <c r="O48" s="56">
        <f t="shared" si="20"/>
        <v>0</v>
      </c>
      <c r="P48" s="56">
        <f t="shared" si="21"/>
        <v>0</v>
      </c>
      <c r="Q48" s="56">
        <f t="shared" si="22"/>
        <v>0</v>
      </c>
      <c r="U48">
        <v>2045</v>
      </c>
      <c r="V48" s="56">
        <f t="shared" si="10"/>
        <v>0</v>
      </c>
      <c r="W48" s="56">
        <f t="shared" si="12"/>
        <v>0</v>
      </c>
      <c r="X48" s="56">
        <f t="shared" si="13"/>
        <v>0</v>
      </c>
      <c r="Y48" s="56">
        <f t="shared" si="14"/>
        <v>0</v>
      </c>
      <c r="Z48" s="56">
        <f t="shared" si="15"/>
        <v>0</v>
      </c>
      <c r="AA48" s="56">
        <f t="shared" si="11"/>
        <v>0</v>
      </c>
      <c r="AE48">
        <v>2045</v>
      </c>
      <c r="AF48" s="56">
        <f>'Future Type Share'!L46*('Future EndUse Share'!Z56+'Future EndUse Share'!AB56+'Future EndUse Share'!AC56+'Future EndUse Share'!AD56)</f>
        <v>9926.1350439331363</v>
      </c>
      <c r="AG48">
        <f>'Future Type Share'!C46*'Future Type Share'!K46*0.5*('Future EndUse Share'!Z56+'Future EndUse Share'!AB56+'Future EndUse Share'!AC56+'Future EndUse Share'!AD56)</f>
        <v>0</v>
      </c>
      <c r="AH48">
        <f>'Future Type Share'!C46*'Future Type Share'!I46*('Future EndUse Share'!O56+'Future EndUse Share'!Q56+'Future EndUse Share'!R56+'Future EndUse Share'!S56)</f>
        <v>6872.4186477732337</v>
      </c>
      <c r="AI48" s="56">
        <f t="shared" si="23"/>
        <v>0</v>
      </c>
      <c r="AJ48">
        <f t="shared" si="24"/>
        <v>0</v>
      </c>
      <c r="AK48">
        <f t="shared" si="25"/>
        <v>0</v>
      </c>
      <c r="AO48">
        <v>2045</v>
      </c>
      <c r="AP48" s="56">
        <f>'Future Type Share'!L46*('Future EndUse Share'!AE56)</f>
        <v>3261.7279263081182</v>
      </c>
      <c r="AQ48" s="56">
        <f>'Future Type Share'!J46*0.5*('Future EndUse Share'!T45)</f>
        <v>0</v>
      </c>
      <c r="AR48" s="56">
        <f>'Future Type Share'!H46*0.5*('Future EndUse Share'!T56)</f>
        <v>0</v>
      </c>
      <c r="AS48" s="56">
        <f t="shared" si="26"/>
        <v>0</v>
      </c>
      <c r="AT48">
        <f t="shared" si="27"/>
        <v>0</v>
      </c>
      <c r="AU48">
        <f t="shared" si="28"/>
        <v>0</v>
      </c>
    </row>
    <row r="49" spans="1:47">
      <c r="A49">
        <v>2046</v>
      </c>
      <c r="B49" s="56">
        <f>'Future Type Share'!L47*'Future EndUse Share'!AA57</f>
        <v>2339.6020855022321</v>
      </c>
      <c r="C49">
        <f>'Future Type Share'!C47*'Future Type Share'!I47*0.5*'Future EndUse Share'!P57</f>
        <v>0</v>
      </c>
      <c r="D49">
        <f>'Future Type Share'!H47*'Future EndUse Share'!P57</f>
        <v>0</v>
      </c>
      <c r="E49" s="56">
        <f t="shared" si="16"/>
        <v>0</v>
      </c>
      <c r="F49">
        <f t="shared" si="17"/>
        <v>0</v>
      </c>
      <c r="G49">
        <f t="shared" si="18"/>
        <v>0</v>
      </c>
      <c r="K49">
        <v>2046</v>
      </c>
      <c r="L49" s="56">
        <f>'Future Type Share'!L47*'Future EndUse Share'!Y57</f>
        <v>16730.352766731903</v>
      </c>
      <c r="M49" s="56">
        <f t="shared" si="19"/>
        <v>0</v>
      </c>
      <c r="N49" s="56">
        <f>'Future Type Share'!H47*'Future EndUse Share'!N57</f>
        <v>0</v>
      </c>
      <c r="O49" s="56">
        <f t="shared" si="20"/>
        <v>0</v>
      </c>
      <c r="P49" s="56">
        <f t="shared" si="21"/>
        <v>0</v>
      </c>
      <c r="Q49" s="56">
        <f t="shared" si="22"/>
        <v>0</v>
      </c>
      <c r="U49">
        <v>2046</v>
      </c>
      <c r="V49" s="56">
        <f t="shared" si="10"/>
        <v>0</v>
      </c>
      <c r="W49" s="56">
        <f t="shared" si="12"/>
        <v>0</v>
      </c>
      <c r="X49" s="56">
        <f t="shared" si="13"/>
        <v>0</v>
      </c>
      <c r="Y49" s="56">
        <f t="shared" si="14"/>
        <v>0</v>
      </c>
      <c r="Z49" s="56">
        <f t="shared" si="15"/>
        <v>0</v>
      </c>
      <c r="AA49" s="56">
        <f t="shared" si="11"/>
        <v>0</v>
      </c>
      <c r="AE49">
        <v>2046</v>
      </c>
      <c r="AF49" s="56">
        <f>'Future Type Share'!L47*('Future EndUse Share'!Z57+'Future EndUse Share'!AB57+'Future EndUse Share'!AC57+'Future EndUse Share'!AD57)</f>
        <v>9910.0050857868646</v>
      </c>
      <c r="AG49">
        <f>'Future Type Share'!C47*'Future Type Share'!K47*0.5*('Future EndUse Share'!Z57+'Future EndUse Share'!AB57+'Future EndUse Share'!AC57+'Future EndUse Share'!AD57)</f>
        <v>0</v>
      </c>
      <c r="AH49">
        <f>'Future Type Share'!C47*'Future Type Share'!I47*('Future EndUse Share'!O57+'Future EndUse Share'!Q57+'Future EndUse Share'!R57+'Future EndUse Share'!S57)</f>
        <v>6735.2181249306723</v>
      </c>
      <c r="AI49" s="56">
        <f t="shared" si="23"/>
        <v>0</v>
      </c>
      <c r="AJ49">
        <f t="shared" si="24"/>
        <v>0</v>
      </c>
      <c r="AK49">
        <f t="shared" si="25"/>
        <v>0</v>
      </c>
      <c r="AO49">
        <v>2046</v>
      </c>
      <c r="AP49" s="56">
        <f>'Future Type Share'!L47*('Future EndUse Share'!AE57)</f>
        <v>3278.1900287521994</v>
      </c>
      <c r="AQ49" s="56">
        <f>'Future Type Share'!J47*0.5*('Future EndUse Share'!T46)</f>
        <v>0</v>
      </c>
      <c r="AR49" s="56">
        <f>'Future Type Share'!H47*0.5*('Future EndUse Share'!T57)</f>
        <v>0</v>
      </c>
      <c r="AS49" s="56">
        <f t="shared" si="26"/>
        <v>0</v>
      </c>
      <c r="AT49">
        <f t="shared" si="27"/>
        <v>0</v>
      </c>
      <c r="AU49">
        <f t="shared" si="28"/>
        <v>0</v>
      </c>
    </row>
    <row r="50" spans="1:47">
      <c r="A50">
        <v>2047</v>
      </c>
      <c r="B50" s="56">
        <f>'Future Type Share'!L48*'Future EndUse Share'!AA58</f>
        <v>2392.7064734698542</v>
      </c>
      <c r="C50">
        <f>'Future Type Share'!C48*'Future Type Share'!I48*0.5*'Future EndUse Share'!P58</f>
        <v>0</v>
      </c>
      <c r="D50">
        <f>'Future Type Share'!H48*'Future EndUse Share'!P58</f>
        <v>0</v>
      </c>
      <c r="E50" s="56">
        <f t="shared" si="16"/>
        <v>0</v>
      </c>
      <c r="F50">
        <f t="shared" si="17"/>
        <v>0</v>
      </c>
      <c r="G50">
        <f t="shared" si="18"/>
        <v>0</v>
      </c>
      <c r="K50">
        <v>2047</v>
      </c>
      <c r="L50" s="56">
        <f>'Future Type Share'!L48*'Future EndUse Share'!Y58</f>
        <v>17327.279492364509</v>
      </c>
      <c r="M50" s="56">
        <f t="shared" si="19"/>
        <v>0</v>
      </c>
      <c r="N50" s="56">
        <f>'Future Type Share'!H48*'Future EndUse Share'!N58</f>
        <v>0</v>
      </c>
      <c r="O50" s="56">
        <f t="shared" si="20"/>
        <v>0</v>
      </c>
      <c r="P50" s="56">
        <f t="shared" si="21"/>
        <v>0</v>
      </c>
      <c r="Q50" s="56">
        <f t="shared" si="22"/>
        <v>0</v>
      </c>
      <c r="U50">
        <v>2047</v>
      </c>
      <c r="V50" s="56">
        <f t="shared" si="10"/>
        <v>0</v>
      </c>
      <c r="W50" s="56">
        <f t="shared" si="12"/>
        <v>0</v>
      </c>
      <c r="X50" s="56">
        <f t="shared" si="13"/>
        <v>0</v>
      </c>
      <c r="Y50" s="56">
        <f t="shared" si="14"/>
        <v>0</v>
      </c>
      <c r="Z50" s="56">
        <f t="shared" si="15"/>
        <v>0</v>
      </c>
      <c r="AA50" s="56">
        <f t="shared" si="11"/>
        <v>0</v>
      </c>
      <c r="AE50">
        <v>2047</v>
      </c>
      <c r="AF50" s="56">
        <f>'Future Type Share'!L48*('Future EndUse Share'!Z58+'Future EndUse Share'!AB58+'Future EndUse Share'!AC58+'Future EndUse Share'!AD58)</f>
        <v>10080.244290619605</v>
      </c>
      <c r="AG50">
        <f>'Future Type Share'!C48*'Future Type Share'!K48*0.5*('Future EndUse Share'!Z58+'Future EndUse Share'!AB58+'Future EndUse Share'!AC58+'Future EndUse Share'!AD58)</f>
        <v>0</v>
      </c>
      <c r="AH50">
        <f>'Future Type Share'!C48*'Future Type Share'!I48*('Future EndUse Share'!O58+'Future EndUse Share'!Q58+'Future EndUse Share'!R58+'Future EndUse Share'!S58)</f>
        <v>6721.3300027471369</v>
      </c>
      <c r="AI50" s="56">
        <f t="shared" si="23"/>
        <v>0</v>
      </c>
      <c r="AJ50">
        <f t="shared" si="24"/>
        <v>0</v>
      </c>
      <c r="AK50">
        <f t="shared" si="25"/>
        <v>0</v>
      </c>
      <c r="AO50">
        <v>2047</v>
      </c>
      <c r="AP50" s="56">
        <f>'Future Type Share'!L48*('Future EndUse Share'!AE58)</f>
        <v>3356.880965296476</v>
      </c>
      <c r="AQ50" s="56">
        <f>'Future Type Share'!J48*0.5*('Future EndUse Share'!T47)</f>
        <v>0</v>
      </c>
      <c r="AR50" s="56">
        <f>'Future Type Share'!H48*0.5*('Future EndUse Share'!T58)</f>
        <v>0</v>
      </c>
      <c r="AS50" s="56">
        <f t="shared" si="26"/>
        <v>0</v>
      </c>
      <c r="AT50">
        <f t="shared" si="27"/>
        <v>0</v>
      </c>
      <c r="AU50">
        <f t="shared" si="28"/>
        <v>0</v>
      </c>
    </row>
    <row r="51" spans="1:47">
      <c r="A51">
        <v>2048</v>
      </c>
      <c r="B51" s="56">
        <f>'Future Type Share'!L49*'Future EndUse Share'!AA59</f>
        <v>2411.6835079904936</v>
      </c>
      <c r="C51">
        <f>'Future Type Share'!C49*'Future Type Share'!I49*0.5*'Future EndUse Share'!P59</f>
        <v>0</v>
      </c>
      <c r="D51">
        <f>'Future Type Share'!H49*'Future EndUse Share'!P59</f>
        <v>0</v>
      </c>
      <c r="E51" s="56">
        <f t="shared" si="16"/>
        <v>0</v>
      </c>
      <c r="F51">
        <f t="shared" si="17"/>
        <v>0</v>
      </c>
      <c r="G51">
        <f t="shared" si="18"/>
        <v>0</v>
      </c>
      <c r="K51">
        <v>2048</v>
      </c>
      <c r="L51" s="56">
        <f>'Future Type Share'!L49*'Future EndUse Share'!Y59</f>
        <v>17683.608584704012</v>
      </c>
      <c r="M51" s="56">
        <f t="shared" si="19"/>
        <v>0</v>
      </c>
      <c r="N51" s="56">
        <f>'Future Type Share'!H49*'Future EndUse Share'!N59</f>
        <v>0</v>
      </c>
      <c r="O51" s="56">
        <f t="shared" si="20"/>
        <v>0</v>
      </c>
      <c r="P51" s="56">
        <f t="shared" si="21"/>
        <v>0</v>
      </c>
      <c r="Q51" s="56">
        <f t="shared" si="22"/>
        <v>0</v>
      </c>
      <c r="U51">
        <v>2048</v>
      </c>
      <c r="V51" s="56">
        <f t="shared" si="10"/>
        <v>0</v>
      </c>
      <c r="W51" s="56">
        <f t="shared" si="12"/>
        <v>0</v>
      </c>
      <c r="X51" s="56">
        <f t="shared" si="13"/>
        <v>0</v>
      </c>
      <c r="Y51" s="56">
        <f t="shared" si="14"/>
        <v>0</v>
      </c>
      <c r="Z51" s="56">
        <f t="shared" si="15"/>
        <v>0</v>
      </c>
      <c r="AA51" s="56">
        <f t="shared" si="11"/>
        <v>0</v>
      </c>
      <c r="AE51">
        <v>2048</v>
      </c>
      <c r="AF51" s="56">
        <f>'Future Type Share'!L49*('Future EndUse Share'!Z59+'Future EndUse Share'!AB59+'Future EndUse Share'!AC59+'Future EndUse Share'!AD59)</f>
        <v>10105.060389753979</v>
      </c>
      <c r="AG51">
        <f>'Future Type Share'!C49*'Future Type Share'!K49*0.5*('Future EndUse Share'!Z59+'Future EndUse Share'!AB59+'Future EndUse Share'!AC59+'Future EndUse Share'!AD59)</f>
        <v>0</v>
      </c>
      <c r="AH51">
        <f>'Future Type Share'!C49*'Future Type Share'!I49*('Future EndUse Share'!O59+'Future EndUse Share'!Q59+'Future EndUse Share'!R59+'Future EndUse Share'!S59)</f>
        <v>6606.5511855254708</v>
      </c>
      <c r="AI51" s="56">
        <f t="shared" si="23"/>
        <v>0</v>
      </c>
      <c r="AJ51">
        <f t="shared" si="24"/>
        <v>0</v>
      </c>
      <c r="AK51">
        <f t="shared" si="25"/>
        <v>0</v>
      </c>
      <c r="AO51">
        <v>2048</v>
      </c>
      <c r="AP51" s="56">
        <f>'Future Type Share'!L49*('Future EndUse Share'!AE59)</f>
        <v>3387.8214652009419</v>
      </c>
      <c r="AQ51" s="56">
        <f>'Future Type Share'!J49*0.5*('Future EndUse Share'!T48)</f>
        <v>0</v>
      </c>
      <c r="AR51" s="56">
        <f>'Future Type Share'!H49*0.5*('Future EndUse Share'!T59)</f>
        <v>0</v>
      </c>
      <c r="AS51" s="56">
        <f t="shared" si="26"/>
        <v>0</v>
      </c>
      <c r="AT51">
        <f t="shared" si="27"/>
        <v>0</v>
      </c>
      <c r="AU51">
        <f t="shared" si="28"/>
        <v>0</v>
      </c>
    </row>
    <row r="52" spans="1:47">
      <c r="A52">
        <v>2049</v>
      </c>
      <c r="B52" s="56">
        <f>'Future Type Share'!L50*'Future EndUse Share'!AA60</f>
        <v>2430.7394462758211</v>
      </c>
      <c r="C52">
        <f>'Future Type Share'!C50*'Future Type Share'!I50*0.5*'Future EndUse Share'!P60</f>
        <v>0</v>
      </c>
      <c r="D52">
        <f>'Future Type Share'!H50*'Future EndUse Share'!P60</f>
        <v>0</v>
      </c>
      <c r="E52" s="56">
        <f t="shared" si="16"/>
        <v>0</v>
      </c>
      <c r="F52">
        <f t="shared" si="17"/>
        <v>0</v>
      </c>
      <c r="G52">
        <f t="shared" si="18"/>
        <v>0</v>
      </c>
      <c r="K52">
        <v>2049</v>
      </c>
      <c r="L52" s="56">
        <f>'Future Type Share'!L50*'Future EndUse Share'!Y60</f>
        <v>18043.968402396975</v>
      </c>
      <c r="M52" s="56">
        <f t="shared" si="19"/>
        <v>0</v>
      </c>
      <c r="N52" s="56">
        <f>'Future Type Share'!H50*'Future EndUse Share'!N60</f>
        <v>0</v>
      </c>
      <c r="O52" s="56">
        <f t="shared" si="20"/>
        <v>0</v>
      </c>
      <c r="P52" s="56">
        <f t="shared" si="21"/>
        <v>0</v>
      </c>
      <c r="Q52" s="56">
        <f t="shared" si="22"/>
        <v>0</v>
      </c>
      <c r="U52">
        <v>2049</v>
      </c>
      <c r="V52" s="56">
        <f t="shared" si="10"/>
        <v>0</v>
      </c>
      <c r="W52" s="56">
        <f t="shared" si="12"/>
        <v>0</v>
      </c>
      <c r="X52" s="56">
        <f t="shared" si="13"/>
        <v>0</v>
      </c>
      <c r="Y52" s="56">
        <f t="shared" si="14"/>
        <v>0</v>
      </c>
      <c r="Z52" s="56">
        <f t="shared" si="15"/>
        <v>0</v>
      </c>
      <c r="AA52" s="56">
        <f t="shared" si="11"/>
        <v>0</v>
      </c>
      <c r="AE52">
        <v>2049</v>
      </c>
      <c r="AF52" s="56">
        <f>'Future Type Share'!L50*('Future EndUse Share'!Z60+'Future EndUse Share'!AB60+'Future EndUse Share'!AC60+'Future EndUse Share'!AD60)</f>
        <v>10129.337645622556</v>
      </c>
      <c r="AG52">
        <f>'Future Type Share'!C50*'Future Type Share'!K50*0.5*('Future EndUse Share'!Z60+'Future EndUse Share'!AB60+'Future EndUse Share'!AC60+'Future EndUse Share'!AD60)</f>
        <v>0</v>
      </c>
      <c r="AH52">
        <f>'Future Type Share'!C50*'Future Type Share'!I50*('Future EndUse Share'!O60+'Future EndUse Share'!Q60+'Future EndUse Share'!R60+'Future EndUse Share'!S60)</f>
        <v>6489.337733845442</v>
      </c>
      <c r="AI52" s="56">
        <f t="shared" si="23"/>
        <v>0</v>
      </c>
      <c r="AJ52">
        <f t="shared" si="24"/>
        <v>0</v>
      </c>
      <c r="AK52">
        <f t="shared" si="25"/>
        <v>0</v>
      </c>
      <c r="AO52">
        <v>2049</v>
      </c>
      <c r="AP52" s="56">
        <f>'Future Type Share'!L50*('Future EndUse Share'!AE60)</f>
        <v>3418.9408764562222</v>
      </c>
      <c r="AQ52" s="56">
        <f>'Future Type Share'!J50*0.5*('Future EndUse Share'!T49)</f>
        <v>0</v>
      </c>
      <c r="AR52" s="56">
        <f>'Future Type Share'!H50*0.5*('Future EndUse Share'!T60)</f>
        <v>0</v>
      </c>
      <c r="AS52" s="56">
        <f t="shared" si="26"/>
        <v>0</v>
      </c>
      <c r="AT52">
        <f t="shared" si="27"/>
        <v>0</v>
      </c>
      <c r="AU52">
        <f t="shared" si="28"/>
        <v>0</v>
      </c>
    </row>
    <row r="53" spans="1:47">
      <c r="A53">
        <v>2050</v>
      </c>
      <c r="B53" s="56">
        <f>'Future Type Share'!L51*'Future EndUse Share'!AA61</f>
        <v>2449.8723067604587</v>
      </c>
      <c r="C53">
        <f>'Future Type Share'!C51*'Future Type Share'!I51*0.5*'Future EndUse Share'!P61</f>
        <v>0</v>
      </c>
      <c r="D53">
        <f>'Future Type Share'!H51*'Future EndUse Share'!P61</f>
        <v>0</v>
      </c>
      <c r="E53" s="56">
        <f t="shared" si="16"/>
        <v>0</v>
      </c>
      <c r="F53">
        <f t="shared" si="17"/>
        <v>0</v>
      </c>
      <c r="G53">
        <f t="shared" si="18"/>
        <v>0</v>
      </c>
      <c r="K53">
        <v>2050</v>
      </c>
      <c r="L53" s="56">
        <f>'Future Type Share'!L51*'Future EndUse Share'!Y61</f>
        <v>18408.365541680705</v>
      </c>
      <c r="M53" s="56">
        <f t="shared" si="19"/>
        <v>0</v>
      </c>
      <c r="N53" s="56">
        <f>'Future Type Share'!H51*'Future EndUse Share'!N61</f>
        <v>0</v>
      </c>
      <c r="O53" s="56">
        <f t="shared" si="20"/>
        <v>0</v>
      </c>
      <c r="P53" s="56">
        <f t="shared" si="21"/>
        <v>0</v>
      </c>
      <c r="Q53" s="56">
        <f t="shared" si="22"/>
        <v>0</v>
      </c>
      <c r="U53">
        <v>2050</v>
      </c>
      <c r="V53" s="56">
        <f t="shared" si="10"/>
        <v>0</v>
      </c>
      <c r="W53" s="56">
        <f t="shared" si="12"/>
        <v>0</v>
      </c>
      <c r="X53" s="56">
        <f t="shared" si="13"/>
        <v>0</v>
      </c>
      <c r="Y53" s="56">
        <f t="shared" si="14"/>
        <v>0</v>
      </c>
      <c r="Z53" s="56">
        <f t="shared" si="15"/>
        <v>0</v>
      </c>
      <c r="AA53" s="56">
        <f t="shared" si="11"/>
        <v>0</v>
      </c>
      <c r="AE53">
        <v>2050</v>
      </c>
      <c r="AF53" s="56">
        <f>'Future Type Share'!L51*('Future EndUse Share'!Z61+'Future EndUse Share'!AB61+'Future EndUse Share'!AC61+'Future EndUse Share'!AD61)</f>
        <v>10153.062434634989</v>
      </c>
      <c r="AG53">
        <f>'Future Type Share'!C51*'Future Type Share'!K51*0.5*('Future EndUse Share'!Z61+'Future EndUse Share'!AB61+'Future EndUse Share'!AC61+'Future EndUse Share'!AD61)</f>
        <v>0</v>
      </c>
      <c r="AH53">
        <f>'Future Type Share'!C51*'Future Type Share'!I51*('Future EndUse Share'!O61+'Future EndUse Share'!Q61+'Future EndUse Share'!R61+'Future EndUse Share'!S61)</f>
        <v>6369.6679975771813</v>
      </c>
      <c r="AI53" s="56">
        <f t="shared" si="23"/>
        <v>0</v>
      </c>
      <c r="AJ53">
        <f t="shared" si="24"/>
        <v>0</v>
      </c>
      <c r="AK53">
        <f t="shared" si="25"/>
        <v>0</v>
      </c>
      <c r="AO53">
        <v>2050</v>
      </c>
      <c r="AP53" s="56">
        <f>'Future Type Share'!L51*('Future EndUse Share'!AE61)</f>
        <v>3450.2368320209807</v>
      </c>
      <c r="AQ53" s="56">
        <f>'Future Type Share'!J51*0.5*('Future EndUse Share'!T50)</f>
        <v>0</v>
      </c>
      <c r="AR53" s="56">
        <f>'Future Type Share'!H51*0.5*('Future EndUse Share'!T61)</f>
        <v>0</v>
      </c>
      <c r="AS53" s="56">
        <f t="shared" si="26"/>
        <v>0</v>
      </c>
      <c r="AT53">
        <f t="shared" si="27"/>
        <v>0</v>
      </c>
      <c r="AU53">
        <f t="shared" si="28"/>
        <v>0</v>
      </c>
    </row>
    <row r="64" spans="1:47">
      <c r="U64" s="56"/>
      <c r="V64" s="56"/>
    </row>
    <row r="65" spans="19:22">
      <c r="S65" s="511"/>
      <c r="T65" s="56"/>
      <c r="U65" s="56"/>
      <c r="V65" s="56"/>
    </row>
    <row r="66" spans="19:22">
      <c r="S66" s="511"/>
      <c r="T66" s="56"/>
      <c r="U66" s="56"/>
      <c r="V66" s="56"/>
    </row>
    <row r="67" spans="19:22">
      <c r="S67" s="511"/>
      <c r="T67" s="56"/>
      <c r="U67" s="56"/>
      <c r="V67" s="56"/>
    </row>
    <row r="68" spans="19:22">
      <c r="S68" s="511"/>
      <c r="T68" s="56"/>
    </row>
  </sheetData>
  <phoneticPr fontId="3"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U55"/>
  <sheetViews>
    <sheetView zoomScale="85" workbookViewId="0">
      <selection activeCell="D42" sqref="D42"/>
    </sheetView>
  </sheetViews>
  <sheetFormatPr defaultColWidth="8.81640625" defaultRowHeight="14.5"/>
  <cols>
    <col min="1" max="1" width="5.81640625" customWidth="1"/>
    <col min="2" max="2" width="11.26953125" customWidth="1"/>
    <col min="3" max="10" width="8.7265625"/>
    <col min="11" max="11" width="6.26953125" customWidth="1"/>
    <col min="12" max="12" width="8.7265625"/>
  </cols>
  <sheetData>
    <row r="1" spans="1:47" ht="21">
      <c r="A1" s="106" t="s">
        <v>968</v>
      </c>
    </row>
    <row r="2" spans="1:47" ht="21">
      <c r="A2" s="106"/>
      <c r="C2" t="s">
        <v>949</v>
      </c>
    </row>
    <row r="3" spans="1:47" s="58" customFormat="1">
      <c r="A3" s="155"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950</v>
      </c>
      <c r="C5">
        <f t="array" ref="C5:AU10">TRANSPOSE(Private_1!B9:G53)</f>
        <v>2062.5449866785084</v>
      </c>
      <c r="D5">
        <v>2020.5925866236907</v>
      </c>
      <c r="E5">
        <v>1948.9996524355449</v>
      </c>
      <c r="F5">
        <v>2086.3738412698417</v>
      </c>
      <c r="G5">
        <v>2067.0811458436051</v>
      </c>
      <c r="H5">
        <v>2105.3912184772653</v>
      </c>
      <c r="I5">
        <v>2107.8414946921444</v>
      </c>
      <c r="J5">
        <v>1776.9996319138522</v>
      </c>
      <c r="K5">
        <v>1671.2346522728285</v>
      </c>
      <c r="L5">
        <v>1429.1788856304984</v>
      </c>
      <c r="M5">
        <v>1318.7127744421543</v>
      </c>
      <c r="N5">
        <v>1181.637544018879</v>
      </c>
      <c r="O5">
        <v>1194.800215568561</v>
      </c>
      <c r="P5">
        <v>1204.1327460410039</v>
      </c>
      <c r="Q5">
        <v>1291.6877592638659</v>
      </c>
      <c r="R5">
        <v>1267.213725870268</v>
      </c>
      <c r="S5">
        <v>1935.2958553625435</v>
      </c>
      <c r="T5">
        <v>1955.2794811057893</v>
      </c>
      <c r="U5">
        <v>1974.0489517694905</v>
      </c>
      <c r="V5">
        <v>1990.5349649879288</v>
      </c>
      <c r="W5">
        <v>2008.1717482813417</v>
      </c>
      <c r="X5">
        <v>2027.2102256684714</v>
      </c>
      <c r="Y5">
        <v>2047.398910024993</v>
      </c>
      <c r="Z5">
        <v>2067.9204686038825</v>
      </c>
      <c r="AA5">
        <v>2088.4010710905295</v>
      </c>
      <c r="AB5">
        <v>2108.2183343953661</v>
      </c>
      <c r="AC5">
        <v>2127.8226788834277</v>
      </c>
      <c r="AD5">
        <v>2147.4271147672689</v>
      </c>
      <c r="AE5">
        <v>2167.138890063959</v>
      </c>
      <c r="AF5">
        <v>2187.31335832282</v>
      </c>
      <c r="AG5">
        <v>2205.3150284462731</v>
      </c>
      <c r="AH5">
        <v>2223.4898879269322</v>
      </c>
      <c r="AI5">
        <v>2240.8130958501151</v>
      </c>
      <c r="AJ5">
        <v>2256.9113625004566</v>
      </c>
      <c r="AK5">
        <v>2271.7686744930829</v>
      </c>
      <c r="AL5">
        <v>2285.4530135160949</v>
      </c>
      <c r="AM5">
        <v>2298.0898439983134</v>
      </c>
      <c r="AN5">
        <v>2309.9761650996306</v>
      </c>
      <c r="AO5">
        <v>2320.8750355723155</v>
      </c>
      <c r="AP5">
        <v>2330.830579409213</v>
      </c>
      <c r="AQ5">
        <v>2339.6020855022321</v>
      </c>
      <c r="AR5">
        <v>2392.7064734698542</v>
      </c>
      <c r="AS5">
        <v>2411.6835079904936</v>
      </c>
      <c r="AT5">
        <v>2430.7394462758211</v>
      </c>
      <c r="AU5">
        <v>2449.8723067604587</v>
      </c>
    </row>
    <row r="6" spans="1:47">
      <c r="B6" t="s">
        <v>951</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952</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953</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954</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955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8" customFormat="1">
      <c r="A12" s="108" t="s">
        <v>937</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950</v>
      </c>
      <c r="C14">
        <f t="array" ref="C14:AU19">TRANSPOSE(Private_1!L9:Q53)</f>
        <v>5878.4452553285973</v>
      </c>
      <c r="D14">
        <v>5942.4665785656725</v>
      </c>
      <c r="E14">
        <v>5918.1303314831148</v>
      </c>
      <c r="F14">
        <v>6489.2292063492068</v>
      </c>
      <c r="G14">
        <v>6595.108761463367</v>
      </c>
      <c r="H14">
        <v>6878.821308645548</v>
      </c>
      <c r="I14">
        <v>7029.9568690728938</v>
      </c>
      <c r="J14">
        <v>6556.1235085658345</v>
      </c>
      <c r="K14">
        <v>7938.3645982959351</v>
      </c>
      <c r="L14">
        <v>7666.1155425219931</v>
      </c>
      <c r="M14">
        <v>7959.134460973205</v>
      </c>
      <c r="N14">
        <v>7945.0596504810364</v>
      </c>
      <c r="O14">
        <v>7954.4097477045771</v>
      </c>
      <c r="P14">
        <v>7975.0712784604329</v>
      </c>
      <c r="Q14">
        <v>9058.4496875042478</v>
      </c>
      <c r="R14">
        <v>9067.2502491362993</v>
      </c>
      <c r="S14">
        <v>9623.2868987819365</v>
      </c>
      <c r="T14">
        <v>9900.1319919792531</v>
      </c>
      <c r="U14">
        <v>10174.347004699963</v>
      </c>
      <c r="V14">
        <v>10439.993022772431</v>
      </c>
      <c r="W14">
        <v>10714.771867881404</v>
      </c>
      <c r="X14">
        <v>11000.358500615461</v>
      </c>
      <c r="Y14">
        <v>11295.747121778064</v>
      </c>
      <c r="Z14">
        <v>11596.667425377615</v>
      </c>
      <c r="AA14">
        <v>11901.079723655121</v>
      </c>
      <c r="AB14">
        <v>12205.369624602037</v>
      </c>
      <c r="AC14">
        <v>12512.00505695173</v>
      </c>
      <c r="AD14">
        <v>12822.199917561198</v>
      </c>
      <c r="AE14">
        <v>13136.604339519447</v>
      </c>
      <c r="AF14">
        <v>13457.433862513246</v>
      </c>
      <c r="AG14">
        <v>13768.360416772854</v>
      </c>
      <c r="AH14">
        <v>14083.651898041457</v>
      </c>
      <c r="AI14">
        <v>14396.771070653911</v>
      </c>
      <c r="AJ14">
        <v>14705.053833654752</v>
      </c>
      <c r="AK14">
        <v>15008.060841979948</v>
      </c>
      <c r="AL14">
        <v>15305.909460052488</v>
      </c>
      <c r="AM14">
        <v>15599.13191975297</v>
      </c>
      <c r="AN14">
        <v>15889.485930462852</v>
      </c>
      <c r="AO14">
        <v>16175.115786867154</v>
      </c>
      <c r="AP14">
        <v>16456.064126063186</v>
      </c>
      <c r="AQ14">
        <v>16730.352766731903</v>
      </c>
      <c r="AR14">
        <v>17327.279492364509</v>
      </c>
      <c r="AS14">
        <v>17683.608584704012</v>
      </c>
      <c r="AT14">
        <v>18043.968402396975</v>
      </c>
      <c r="AU14">
        <v>18408.365541680705</v>
      </c>
    </row>
    <row r="15" spans="1:47">
      <c r="B15" t="s">
        <v>951</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952</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953</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954</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955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8" customFormat="1">
      <c r="A21" s="108" t="s">
        <v>938</v>
      </c>
    </row>
    <row r="22" spans="1:47">
      <c r="B22" t="s">
        <v>557</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940</v>
      </c>
      <c r="C23">
        <f t="array" ref="C23:AU28">TRANSPOSE(Private_1!V9:AA53)</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941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942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943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944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945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8" customFormat="1">
      <c r="A30" s="108" t="s">
        <v>939</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950</v>
      </c>
      <c r="C32">
        <f t="array" ref="C32:AU37">TRANSPOSE(Private_1!AF9:AK53)</f>
        <v>8503.6770959147434</v>
      </c>
      <c r="D32">
        <v>9044.5572925060424</v>
      </c>
      <c r="E32">
        <v>9474.6990403071013</v>
      </c>
      <c r="F32">
        <v>9718.4391111111127</v>
      </c>
      <c r="G32">
        <v>9324.6429099694305</v>
      </c>
      <c r="H32">
        <v>9294.6717585225924</v>
      </c>
      <c r="I32">
        <v>9177.8931748053783</v>
      </c>
      <c r="J32">
        <v>9105.9378149779732</v>
      </c>
      <c r="K32">
        <v>9612.4609537404631</v>
      </c>
      <c r="L32">
        <v>9193.4313782991176</v>
      </c>
      <c r="M32">
        <v>9724.4308943453707</v>
      </c>
      <c r="N32">
        <v>9828.8998333635936</v>
      </c>
      <c r="O32">
        <v>9913.9615559479425</v>
      </c>
      <c r="P32">
        <v>9902.2667872572929</v>
      </c>
      <c r="Q32">
        <v>10648.59560326469</v>
      </c>
      <c r="R32">
        <v>10404.594173517453</v>
      </c>
      <c r="S32">
        <v>9259.2636841988406</v>
      </c>
      <c r="T32">
        <v>9310.1749911958013</v>
      </c>
      <c r="U32">
        <v>9354.4191134702523</v>
      </c>
      <c r="V32">
        <v>9387.0366649624139</v>
      </c>
      <c r="W32">
        <v>9424.3009946660259</v>
      </c>
      <c r="X32">
        <v>9467.3050250165415</v>
      </c>
      <c r="Y32">
        <v>9514.783900964836</v>
      </c>
      <c r="Z32">
        <v>9562.8790708472425</v>
      </c>
      <c r="AA32">
        <v>9609.8475129104991</v>
      </c>
      <c r="AB32">
        <v>9652.8423473448911</v>
      </c>
      <c r="AC32">
        <v>9693.9610977021912</v>
      </c>
      <c r="AD32">
        <v>9734.183931345553</v>
      </c>
      <c r="AE32">
        <v>9773.9945403697675</v>
      </c>
      <c r="AF32">
        <v>9814.980116701985</v>
      </c>
      <c r="AG32">
        <v>9845.3431197111022</v>
      </c>
      <c r="AH32">
        <v>9875.6522898912262</v>
      </c>
      <c r="AI32">
        <v>9901.3673370013476</v>
      </c>
      <c r="AJ32">
        <v>9920.905765870606</v>
      </c>
      <c r="AK32">
        <v>9934.281559497018</v>
      </c>
      <c r="AL32">
        <v>9941.8755494378056</v>
      </c>
      <c r="AM32">
        <v>9944.3110905972499</v>
      </c>
      <c r="AN32">
        <v>9942.9384101142132</v>
      </c>
      <c r="AO32">
        <v>9936.7945184014334</v>
      </c>
      <c r="AP32">
        <v>9926.1350439331363</v>
      </c>
      <c r="AQ32">
        <v>9910.0050857868646</v>
      </c>
      <c r="AR32">
        <v>10080.244290619605</v>
      </c>
      <c r="AS32">
        <v>10105.060389753979</v>
      </c>
      <c r="AT32">
        <v>10129.337645622556</v>
      </c>
      <c r="AU32">
        <v>10153.062434634989</v>
      </c>
    </row>
    <row r="33" spans="1:47">
      <c r="B33" t="s">
        <v>951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952</v>
      </c>
      <c r="C34">
        <v>8903.0403148261139</v>
      </c>
      <c r="D34">
        <v>8812.1096341463417</v>
      </c>
      <c r="E34">
        <v>9130.4784686609692</v>
      </c>
      <c r="F34">
        <v>9129.7221374045803</v>
      </c>
      <c r="G34">
        <v>9476.4109374999989</v>
      </c>
      <c r="H34">
        <v>9320.6589446098878</v>
      </c>
      <c r="I34">
        <v>9090.44</v>
      </c>
      <c r="J34">
        <v>9114.21756545477</v>
      </c>
      <c r="K34">
        <v>9158.7645308080191</v>
      </c>
      <c r="L34">
        <v>8762.1233178654275</v>
      </c>
      <c r="M34">
        <v>9125.4312079304855</v>
      </c>
      <c r="N34">
        <v>8846.7009759609391</v>
      </c>
      <c r="O34">
        <v>8726.7587605895187</v>
      </c>
      <c r="P34">
        <v>8560.972342512714</v>
      </c>
      <c r="Q34">
        <v>9216.7515711339965</v>
      </c>
      <c r="R34">
        <v>8896.250881545986</v>
      </c>
      <c r="S34">
        <v>8808.5284083470615</v>
      </c>
      <c r="T34">
        <v>8763.2071289559135</v>
      </c>
      <c r="U34">
        <v>8709.7432538677749</v>
      </c>
      <c r="V34">
        <v>8643.7472873566912</v>
      </c>
      <c r="W34">
        <v>8580.3701972021117</v>
      </c>
      <c r="X34">
        <v>8520.4260090974967</v>
      </c>
      <c r="Y34">
        <v>8462.582161436645</v>
      </c>
      <c r="Z34">
        <v>8403.2768133266909</v>
      </c>
      <c r="AA34">
        <v>8340.9473081736924</v>
      </c>
      <c r="AB34">
        <v>8273.1598273999934</v>
      </c>
      <c r="AC34">
        <v>8201.7892349688427</v>
      </c>
      <c r="AD34">
        <v>8127.68626164944</v>
      </c>
      <c r="AE34">
        <v>8051.2493309648744</v>
      </c>
      <c r="AF34">
        <v>7973.7514244313525</v>
      </c>
      <c r="AG34">
        <v>7885.671919898773</v>
      </c>
      <c r="AH34">
        <v>7795.6903040347033</v>
      </c>
      <c r="AI34">
        <v>7700.2486384667282</v>
      </c>
      <c r="AJ34">
        <v>7598.2682537515029</v>
      </c>
      <c r="AK34">
        <v>7489.9524783286724</v>
      </c>
      <c r="AL34">
        <v>7375.7801799837853</v>
      </c>
      <c r="AM34">
        <v>7256.3927801401496</v>
      </c>
      <c r="AN34">
        <v>7132.9264007167549</v>
      </c>
      <c r="AO34">
        <v>7004.8228346364558</v>
      </c>
      <c r="AP34">
        <v>6872.4186477732337</v>
      </c>
      <c r="AQ34">
        <v>6735.2181249306723</v>
      </c>
      <c r="AR34">
        <v>6721.3300027471369</v>
      </c>
      <c r="AS34">
        <v>6606.5511855254708</v>
      </c>
      <c r="AT34">
        <v>6489.337733845442</v>
      </c>
      <c r="AU34">
        <v>6369.6679975771813</v>
      </c>
    </row>
    <row r="35" spans="1:47">
      <c r="B35" t="s">
        <v>953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954</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955</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8" customFormat="1">
      <c r="A39" s="108"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950</v>
      </c>
      <c r="C41" s="56">
        <f t="array" ref="C41:AU46">TRANSPOSE(Private_1!AP9:AU53)</f>
        <v>854.59266207815278</v>
      </c>
      <c r="D41" s="57">
        <v>903.49354230459312</v>
      </c>
      <c r="E41" s="57">
        <v>940.83097577423871</v>
      </c>
      <c r="F41" s="57">
        <v>1114.9150476190478</v>
      </c>
      <c r="G41" s="57">
        <v>1262.2671827235974</v>
      </c>
      <c r="H41" s="57">
        <v>1532.235714354598</v>
      </c>
      <c r="I41" s="56">
        <v>1915.9591847133756</v>
      </c>
      <c r="J41" s="56">
        <v>1934.4072834067547</v>
      </c>
      <c r="K41" s="56">
        <v>2162.4936967480035</v>
      </c>
      <c r="L41" s="56">
        <v>2179.021407624633</v>
      </c>
      <c r="M41" s="56">
        <v>2339.065588314365</v>
      </c>
      <c r="N41">
        <v>1003.4233570520972</v>
      </c>
      <c r="O41">
        <v>1015.0339320956522</v>
      </c>
      <c r="P41">
        <v>1022.3951967999483</v>
      </c>
      <c r="Q41">
        <v>1097.9345953742861</v>
      </c>
      <c r="R41">
        <v>1076.3037410350855</v>
      </c>
      <c r="S41">
        <v>2628.556076018675</v>
      </c>
      <c r="T41">
        <v>2659.1977585263999</v>
      </c>
      <c r="U41">
        <v>2688.2575390173611</v>
      </c>
      <c r="V41">
        <v>2714.2708097193486</v>
      </c>
      <c r="W41">
        <v>2741.9143299914786</v>
      </c>
      <c r="X41">
        <v>2771.5373340765523</v>
      </c>
      <c r="Y41">
        <v>2802.8030728786775</v>
      </c>
      <c r="Z41">
        <v>2834.5973652426114</v>
      </c>
      <c r="AA41">
        <v>2866.4089023456545</v>
      </c>
      <c r="AB41">
        <v>2897.3821061804761</v>
      </c>
      <c r="AC41">
        <v>2928.1332462176074</v>
      </c>
      <c r="AD41">
        <v>2958.9546874643552</v>
      </c>
      <c r="AE41">
        <v>2989.9944001479312</v>
      </c>
      <c r="AF41">
        <v>3021.7438767442632</v>
      </c>
      <c r="AG41">
        <v>3050.5599892755481</v>
      </c>
      <c r="AH41">
        <v>3079.6804188878887</v>
      </c>
      <c r="AI41">
        <v>3107.6847888631482</v>
      </c>
      <c r="AJ41">
        <v>3134.0501592302917</v>
      </c>
      <c r="AK41">
        <v>3158.747687252669</v>
      </c>
      <c r="AL41">
        <v>3181.8653556114086</v>
      </c>
      <c r="AM41">
        <v>3203.5717654832097</v>
      </c>
      <c r="AN41">
        <v>3224.2758452670546</v>
      </c>
      <c r="AO41">
        <v>3243.6424173945697</v>
      </c>
      <c r="AP41">
        <v>3261.7279263081182</v>
      </c>
      <c r="AQ41">
        <v>3278.1900287521994</v>
      </c>
      <c r="AR41">
        <v>3356.880965296476</v>
      </c>
      <c r="AS41">
        <v>3387.8214652009419</v>
      </c>
      <c r="AT41">
        <v>3418.9408764562222</v>
      </c>
      <c r="AU41">
        <v>3450.2368320209807</v>
      </c>
    </row>
    <row r="42" spans="1:47">
      <c r="B42" t="s">
        <v>951</v>
      </c>
      <c r="C42" s="56">
        <v>0</v>
      </c>
      <c r="D42" s="57">
        <v>0</v>
      </c>
      <c r="E42" s="57">
        <v>0</v>
      </c>
      <c r="F42" s="57">
        <v>0</v>
      </c>
      <c r="G42" s="57">
        <v>0</v>
      </c>
      <c r="H42" s="57">
        <v>0</v>
      </c>
      <c r="I42" s="56">
        <v>0</v>
      </c>
      <c r="J42" s="56">
        <v>0</v>
      </c>
      <c r="K42" s="56">
        <v>0</v>
      </c>
      <c r="L42" s="56">
        <v>0</v>
      </c>
      <c r="M42" s="56">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952</v>
      </c>
      <c r="C43" s="56">
        <v>8.6996851738865164</v>
      </c>
      <c r="D43" s="57">
        <v>9.7803658536585374</v>
      </c>
      <c r="E43" s="57">
        <v>10.851531339031338</v>
      </c>
      <c r="F43" s="57">
        <v>6.5367938931297713</v>
      </c>
      <c r="G43" s="57">
        <v>3.3667968749999999</v>
      </c>
      <c r="H43" s="57">
        <v>2.2210553901131629</v>
      </c>
      <c r="I43" s="56">
        <v>1.1182728502890886</v>
      </c>
      <c r="J43" s="56">
        <v>2.2624345452289365</v>
      </c>
      <c r="K43" s="56">
        <v>4.5083753535850448</v>
      </c>
      <c r="L43" s="56">
        <v>10.176682134570765</v>
      </c>
      <c r="M43" s="56">
        <v>21.268792069514134</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row>
    <row r="44" spans="1:47">
      <c r="B44" t="s">
        <v>953</v>
      </c>
      <c r="C44" s="56">
        <v>0</v>
      </c>
      <c r="D44" s="57">
        <v>0</v>
      </c>
      <c r="E44" s="57">
        <v>0</v>
      </c>
      <c r="F44" s="57">
        <v>0</v>
      </c>
      <c r="G44" s="57">
        <v>0</v>
      </c>
      <c r="H44" s="57">
        <v>0</v>
      </c>
      <c r="I44" s="56">
        <v>0</v>
      </c>
      <c r="J44" s="56">
        <v>0</v>
      </c>
      <c r="K44" s="56">
        <v>0</v>
      </c>
      <c r="L44" s="56">
        <v>0</v>
      </c>
      <c r="M44" s="56">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954</v>
      </c>
      <c r="C45">
        <v>0</v>
      </c>
      <c r="D45" s="57">
        <v>0</v>
      </c>
      <c r="E45" s="57">
        <v>0</v>
      </c>
      <c r="F45" s="57">
        <v>0</v>
      </c>
      <c r="G45" s="57">
        <v>0</v>
      </c>
      <c r="H45" s="57">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955</v>
      </c>
      <c r="C46">
        <v>0</v>
      </c>
      <c r="D46" s="57">
        <v>0</v>
      </c>
      <c r="E46" s="57">
        <v>0</v>
      </c>
      <c r="F46" s="57">
        <v>0</v>
      </c>
      <c r="G46" s="57">
        <v>0</v>
      </c>
      <c r="H46" s="57">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67" t="s">
        <v>956</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950</v>
      </c>
      <c r="C50" s="56">
        <f>SUM(C5,C14,C23,C32,C41)</f>
        <v>17299.260000000002</v>
      </c>
      <c r="D50" s="56">
        <f t="shared" ref="D50:AU55" si="0">SUM(D5,D14,D23,D32,D41)</f>
        <v>17911.109999999997</v>
      </c>
      <c r="E50" s="56">
        <f t="shared" si="0"/>
        <v>18282.66</v>
      </c>
      <c r="F50" s="56">
        <f t="shared" si="0"/>
        <v>19408.957206349209</v>
      </c>
      <c r="G50" s="56">
        <f t="shared" si="0"/>
        <v>19249.099999999999</v>
      </c>
      <c r="H50" s="56">
        <f t="shared" si="0"/>
        <v>19811.120000000006</v>
      </c>
      <c r="I50" s="56">
        <f t="shared" si="0"/>
        <v>20231.65072328379</v>
      </c>
      <c r="J50" s="56">
        <f t="shared" si="0"/>
        <v>19373.468238864414</v>
      </c>
      <c r="K50" s="56">
        <f t="shared" si="0"/>
        <v>21384.553901057232</v>
      </c>
      <c r="L50" s="56">
        <f t="shared" si="0"/>
        <v>20467.74721407624</v>
      </c>
      <c r="M50" s="56">
        <f t="shared" si="0"/>
        <v>21341.343718075095</v>
      </c>
      <c r="N50" s="56">
        <f t="shared" si="0"/>
        <v>19959.020384915602</v>
      </c>
      <c r="O50" s="56">
        <f t="shared" si="0"/>
        <v>20078.205451316735</v>
      </c>
      <c r="P50" s="56">
        <f t="shared" si="0"/>
        <v>20103.866008558678</v>
      </c>
      <c r="Q50" s="56">
        <f t="shared" si="0"/>
        <v>22096.667645407088</v>
      </c>
      <c r="R50" s="56">
        <f t="shared" si="0"/>
        <v>21815.361889559103</v>
      </c>
      <c r="S50" s="56">
        <f t="shared" si="0"/>
        <v>23446.402514361995</v>
      </c>
      <c r="T50" s="56">
        <f t="shared" si="0"/>
        <v>23824.784222807244</v>
      </c>
      <c r="U50" s="56">
        <f t="shared" si="0"/>
        <v>24191.072608957067</v>
      </c>
      <c r="V50" s="56">
        <f t="shared" si="0"/>
        <v>24531.835462442123</v>
      </c>
      <c r="W50" s="56">
        <f t="shared" si="0"/>
        <v>24889.158940820249</v>
      </c>
      <c r="X50" s="56">
        <f t="shared" si="0"/>
        <v>25266.411085377025</v>
      </c>
      <c r="Y50" s="56">
        <f t="shared" si="0"/>
        <v>25660.733005646569</v>
      </c>
      <c r="Z50" s="56">
        <f t="shared" si="0"/>
        <v>26062.064330071349</v>
      </c>
      <c r="AA50" s="56">
        <f t="shared" si="0"/>
        <v>26465.737210001804</v>
      </c>
      <c r="AB50" s="56">
        <f t="shared" si="0"/>
        <v>26863.81241252277</v>
      </c>
      <c r="AC50" s="56">
        <f t="shared" si="0"/>
        <v>27261.922079754957</v>
      </c>
      <c r="AD50" s="56">
        <f t="shared" si="0"/>
        <v>27662.765651138376</v>
      </c>
      <c r="AE50" s="56">
        <f t="shared" si="0"/>
        <v>28067.732170101102</v>
      </c>
      <c r="AF50" s="56">
        <f t="shared" si="0"/>
        <v>28481.471214282315</v>
      </c>
      <c r="AG50" s="56">
        <f t="shared" si="0"/>
        <v>28869.578554205778</v>
      </c>
      <c r="AH50" s="56">
        <f t="shared" si="0"/>
        <v>29262.474494747505</v>
      </c>
      <c r="AI50" s="56">
        <f t="shared" si="0"/>
        <v>29646.636292368526</v>
      </c>
      <c r="AJ50" s="56">
        <f t="shared" si="0"/>
        <v>30016.921121256106</v>
      </c>
      <c r="AK50" s="56">
        <f t="shared" si="0"/>
        <v>30372.858763222714</v>
      </c>
      <c r="AL50" s="56">
        <f t="shared" si="0"/>
        <v>30715.103378617794</v>
      </c>
      <c r="AM50" s="56">
        <f t="shared" si="0"/>
        <v>31045.104619831742</v>
      </c>
      <c r="AN50" s="56">
        <f t="shared" si="0"/>
        <v>31366.676350943748</v>
      </c>
      <c r="AO50" s="56">
        <f t="shared" si="0"/>
        <v>31676.427758235477</v>
      </c>
      <c r="AP50" s="56">
        <f t="shared" si="0"/>
        <v>31974.757675713652</v>
      </c>
      <c r="AQ50" s="56">
        <f t="shared" si="0"/>
        <v>32258.149966773199</v>
      </c>
      <c r="AR50" s="56">
        <f t="shared" si="0"/>
        <v>33157.111221750441</v>
      </c>
      <c r="AS50" s="56">
        <f t="shared" si="0"/>
        <v>33588.173947649426</v>
      </c>
      <c r="AT50" s="56">
        <f t="shared" si="0"/>
        <v>34022.986370751576</v>
      </c>
      <c r="AU50" s="56">
        <f t="shared" si="0"/>
        <v>34461.537115097133</v>
      </c>
    </row>
    <row r="51" spans="2:47">
      <c r="B51" t="s">
        <v>951</v>
      </c>
      <c r="C51" s="56">
        <f t="shared" ref="C51:C55" si="1">SUM(C6,C15,C24,C33,C42)</f>
        <v>0</v>
      </c>
      <c r="D51" s="56">
        <f t="shared" ref="D51:R51" si="2">SUM(D6,D15,D24,D33,D42)</f>
        <v>0</v>
      </c>
      <c r="E51" s="56">
        <f t="shared" si="2"/>
        <v>0</v>
      </c>
      <c r="F51" s="56">
        <f t="shared" si="2"/>
        <v>0</v>
      </c>
      <c r="G51" s="56">
        <f t="shared" si="2"/>
        <v>0</v>
      </c>
      <c r="H51" s="56">
        <f t="shared" si="2"/>
        <v>0</v>
      </c>
      <c r="I51" s="56">
        <f t="shared" si="2"/>
        <v>0</v>
      </c>
      <c r="J51" s="56">
        <f t="shared" si="2"/>
        <v>0</v>
      </c>
      <c r="K51" s="56">
        <f t="shared" si="2"/>
        <v>0</v>
      </c>
      <c r="L51" s="56">
        <f t="shared" si="2"/>
        <v>0</v>
      </c>
      <c r="M51" s="56">
        <f t="shared" si="2"/>
        <v>0</v>
      </c>
      <c r="N51" s="56">
        <f t="shared" si="2"/>
        <v>0</v>
      </c>
      <c r="O51" s="56">
        <f t="shared" si="2"/>
        <v>0</v>
      </c>
      <c r="P51" s="56">
        <f t="shared" si="2"/>
        <v>0</v>
      </c>
      <c r="Q51" s="56">
        <f t="shared" si="2"/>
        <v>0</v>
      </c>
      <c r="R51" s="56">
        <f t="shared" si="2"/>
        <v>0</v>
      </c>
      <c r="S51" s="56">
        <f t="shared" si="0"/>
        <v>0</v>
      </c>
      <c r="T51" s="56">
        <f t="shared" si="0"/>
        <v>0</v>
      </c>
      <c r="U51" s="56">
        <f t="shared" si="0"/>
        <v>0</v>
      </c>
      <c r="V51" s="56">
        <f t="shared" si="0"/>
        <v>0</v>
      </c>
      <c r="W51" s="56">
        <f t="shared" si="0"/>
        <v>0</v>
      </c>
      <c r="X51" s="56">
        <f t="shared" si="0"/>
        <v>0</v>
      </c>
      <c r="Y51" s="56">
        <f t="shared" si="0"/>
        <v>0</v>
      </c>
      <c r="Z51" s="56">
        <f t="shared" si="0"/>
        <v>0</v>
      </c>
      <c r="AA51" s="56">
        <f t="shared" si="0"/>
        <v>0</v>
      </c>
      <c r="AB51" s="56">
        <f t="shared" si="0"/>
        <v>0</v>
      </c>
      <c r="AC51" s="56">
        <f t="shared" si="0"/>
        <v>0</v>
      </c>
      <c r="AD51" s="56">
        <f t="shared" si="0"/>
        <v>0</v>
      </c>
      <c r="AE51" s="56">
        <f t="shared" si="0"/>
        <v>0</v>
      </c>
      <c r="AF51" s="56">
        <f t="shared" si="0"/>
        <v>0</v>
      </c>
      <c r="AG51" s="56">
        <f t="shared" si="0"/>
        <v>0</v>
      </c>
      <c r="AH51" s="56">
        <f t="shared" si="0"/>
        <v>0</v>
      </c>
      <c r="AI51" s="56">
        <f t="shared" si="0"/>
        <v>0</v>
      </c>
      <c r="AJ51" s="56">
        <f t="shared" si="0"/>
        <v>0</v>
      </c>
      <c r="AK51" s="56">
        <f t="shared" si="0"/>
        <v>0</v>
      </c>
      <c r="AL51" s="56">
        <f t="shared" si="0"/>
        <v>0</v>
      </c>
      <c r="AM51" s="56">
        <f t="shared" si="0"/>
        <v>0</v>
      </c>
      <c r="AN51" s="56">
        <f t="shared" si="0"/>
        <v>0</v>
      </c>
      <c r="AO51" s="56">
        <f t="shared" si="0"/>
        <v>0</v>
      </c>
      <c r="AP51" s="56">
        <f t="shared" si="0"/>
        <v>0</v>
      </c>
      <c r="AQ51" s="56">
        <f t="shared" si="0"/>
        <v>0</v>
      </c>
      <c r="AR51" s="56">
        <f t="shared" si="0"/>
        <v>0</v>
      </c>
      <c r="AS51" s="56">
        <f t="shared" si="0"/>
        <v>0</v>
      </c>
      <c r="AT51" s="56">
        <f t="shared" si="0"/>
        <v>0</v>
      </c>
      <c r="AU51" s="56">
        <f t="shared" si="0"/>
        <v>0</v>
      </c>
    </row>
    <row r="52" spans="2:47">
      <c r="B52" t="s">
        <v>952</v>
      </c>
      <c r="C52" s="56">
        <f t="shared" si="1"/>
        <v>8911.74</v>
      </c>
      <c r="D52" s="56">
        <f t="shared" si="0"/>
        <v>8821.89</v>
      </c>
      <c r="E52" s="56">
        <f t="shared" si="0"/>
        <v>9141.33</v>
      </c>
      <c r="F52" s="56">
        <f t="shared" si="0"/>
        <v>9136.2589312977107</v>
      </c>
      <c r="G52" s="56">
        <f t="shared" si="0"/>
        <v>9479.7777343749985</v>
      </c>
      <c r="H52" s="56">
        <f t="shared" si="0"/>
        <v>9322.880000000001</v>
      </c>
      <c r="I52" s="56">
        <f t="shared" si="0"/>
        <v>9091.5582728502905</v>
      </c>
      <c r="J52" s="56">
        <f t="shared" si="0"/>
        <v>9116.48</v>
      </c>
      <c r="K52" s="56">
        <f t="shared" si="0"/>
        <v>9163.2729061616046</v>
      </c>
      <c r="L52" s="56">
        <f t="shared" si="0"/>
        <v>8772.2999999999975</v>
      </c>
      <c r="M52" s="56">
        <f t="shared" si="0"/>
        <v>9146.6999999999989</v>
      </c>
      <c r="N52" s="56">
        <f t="shared" si="0"/>
        <v>8846.7009759609391</v>
      </c>
      <c r="O52" s="56">
        <f t="shared" si="0"/>
        <v>8726.7587605895187</v>
      </c>
      <c r="P52" s="56">
        <f t="shared" si="0"/>
        <v>8560.972342512714</v>
      </c>
      <c r="Q52" s="56">
        <f t="shared" si="0"/>
        <v>9216.7515711339965</v>
      </c>
      <c r="R52" s="56">
        <f t="shared" si="0"/>
        <v>8896.250881545986</v>
      </c>
      <c r="S52" s="56">
        <f t="shared" si="0"/>
        <v>8808.5284083470615</v>
      </c>
      <c r="T52" s="56">
        <f t="shared" si="0"/>
        <v>8763.2071289559135</v>
      </c>
      <c r="U52" s="56">
        <f t="shared" si="0"/>
        <v>8709.7432538677749</v>
      </c>
      <c r="V52" s="56">
        <f t="shared" si="0"/>
        <v>8643.7472873566912</v>
      </c>
      <c r="W52" s="56">
        <f t="shared" si="0"/>
        <v>8580.3701972021117</v>
      </c>
      <c r="X52" s="56">
        <f t="shared" si="0"/>
        <v>8520.4260090974967</v>
      </c>
      <c r="Y52" s="56">
        <f t="shared" si="0"/>
        <v>8462.582161436645</v>
      </c>
      <c r="Z52" s="56">
        <f t="shared" si="0"/>
        <v>8403.2768133266909</v>
      </c>
      <c r="AA52" s="56">
        <f t="shared" si="0"/>
        <v>8340.9473081736924</v>
      </c>
      <c r="AB52" s="56">
        <f t="shared" si="0"/>
        <v>8273.1598273999934</v>
      </c>
      <c r="AC52" s="56">
        <f t="shared" si="0"/>
        <v>8201.7892349688427</v>
      </c>
      <c r="AD52" s="56">
        <f t="shared" si="0"/>
        <v>8127.68626164944</v>
      </c>
      <c r="AE52" s="56">
        <f t="shared" si="0"/>
        <v>8051.2493309648744</v>
      </c>
      <c r="AF52" s="56">
        <f t="shared" si="0"/>
        <v>7973.7514244313525</v>
      </c>
      <c r="AG52" s="56">
        <f t="shared" si="0"/>
        <v>7885.671919898773</v>
      </c>
      <c r="AH52" s="56">
        <f t="shared" si="0"/>
        <v>7795.6903040347033</v>
      </c>
      <c r="AI52" s="56">
        <f t="shared" si="0"/>
        <v>7700.2486384667282</v>
      </c>
      <c r="AJ52" s="56">
        <f t="shared" si="0"/>
        <v>7598.2682537515029</v>
      </c>
      <c r="AK52" s="56">
        <f t="shared" si="0"/>
        <v>7489.9524783286724</v>
      </c>
      <c r="AL52" s="56">
        <f t="shared" si="0"/>
        <v>7375.7801799837853</v>
      </c>
      <c r="AM52" s="56">
        <f t="shared" si="0"/>
        <v>7256.3927801401496</v>
      </c>
      <c r="AN52" s="56">
        <f t="shared" si="0"/>
        <v>7132.9264007167549</v>
      </c>
      <c r="AO52" s="56">
        <f t="shared" si="0"/>
        <v>7004.8228346364558</v>
      </c>
      <c r="AP52" s="56">
        <f t="shared" si="0"/>
        <v>6872.4186477732337</v>
      </c>
      <c r="AQ52" s="56">
        <f t="shared" si="0"/>
        <v>6735.2181249306723</v>
      </c>
      <c r="AR52" s="56">
        <f t="shared" si="0"/>
        <v>6721.3300027471369</v>
      </c>
      <c r="AS52" s="56">
        <f t="shared" si="0"/>
        <v>6606.5511855254708</v>
      </c>
      <c r="AT52" s="56">
        <f t="shared" si="0"/>
        <v>6489.337733845442</v>
      </c>
      <c r="AU52" s="56">
        <f t="shared" si="0"/>
        <v>6369.6679975771813</v>
      </c>
    </row>
    <row r="53" spans="2:47">
      <c r="B53" t="s">
        <v>953</v>
      </c>
      <c r="C53" s="56">
        <f t="shared" si="1"/>
        <v>0</v>
      </c>
      <c r="D53" s="56">
        <f t="shared" si="0"/>
        <v>0</v>
      </c>
      <c r="E53" s="56">
        <f t="shared" si="0"/>
        <v>0</v>
      </c>
      <c r="F53" s="56">
        <f t="shared" si="0"/>
        <v>0</v>
      </c>
      <c r="G53" s="56">
        <f t="shared" si="0"/>
        <v>0</v>
      </c>
      <c r="H53" s="56">
        <f t="shared" si="0"/>
        <v>0</v>
      </c>
      <c r="I53" s="56">
        <f t="shared" si="0"/>
        <v>0</v>
      </c>
      <c r="J53" s="56">
        <f t="shared" si="0"/>
        <v>0</v>
      </c>
      <c r="K53" s="56">
        <f t="shared" si="0"/>
        <v>0</v>
      </c>
      <c r="L53" s="56">
        <f t="shared" si="0"/>
        <v>0</v>
      </c>
      <c r="M53" s="56">
        <f t="shared" si="0"/>
        <v>0</v>
      </c>
      <c r="N53" s="56">
        <f t="shared" si="0"/>
        <v>0</v>
      </c>
      <c r="O53" s="56">
        <f t="shared" si="0"/>
        <v>0</v>
      </c>
      <c r="P53" s="56">
        <f t="shared" si="0"/>
        <v>0</v>
      </c>
      <c r="Q53" s="56">
        <f t="shared" si="0"/>
        <v>0</v>
      </c>
      <c r="R53" s="56">
        <f t="shared" si="0"/>
        <v>0</v>
      </c>
      <c r="S53" s="56">
        <f t="shared" si="0"/>
        <v>0</v>
      </c>
      <c r="T53" s="56">
        <f t="shared" si="0"/>
        <v>0</v>
      </c>
      <c r="U53" s="56">
        <f t="shared" si="0"/>
        <v>0</v>
      </c>
      <c r="V53" s="56">
        <f t="shared" si="0"/>
        <v>0</v>
      </c>
      <c r="W53" s="56">
        <f t="shared" si="0"/>
        <v>0</v>
      </c>
      <c r="X53" s="56">
        <f t="shared" si="0"/>
        <v>0</v>
      </c>
      <c r="Y53" s="56">
        <f t="shared" si="0"/>
        <v>0</v>
      </c>
      <c r="Z53" s="56">
        <f t="shared" si="0"/>
        <v>0</v>
      </c>
      <c r="AA53" s="56">
        <f t="shared" si="0"/>
        <v>0</v>
      </c>
      <c r="AB53" s="56">
        <f t="shared" si="0"/>
        <v>0</v>
      </c>
      <c r="AC53" s="56">
        <f t="shared" si="0"/>
        <v>0</v>
      </c>
      <c r="AD53" s="56">
        <f t="shared" si="0"/>
        <v>0</v>
      </c>
      <c r="AE53" s="56">
        <f t="shared" si="0"/>
        <v>0</v>
      </c>
      <c r="AF53" s="56">
        <f t="shared" si="0"/>
        <v>0</v>
      </c>
      <c r="AG53" s="56">
        <f t="shared" si="0"/>
        <v>0</v>
      </c>
      <c r="AH53" s="56">
        <f t="shared" si="0"/>
        <v>0</v>
      </c>
      <c r="AI53" s="56">
        <f t="shared" si="0"/>
        <v>0</v>
      </c>
      <c r="AJ53" s="56">
        <f t="shared" si="0"/>
        <v>0</v>
      </c>
      <c r="AK53" s="56">
        <f t="shared" si="0"/>
        <v>0</v>
      </c>
      <c r="AL53" s="56">
        <f t="shared" si="0"/>
        <v>0</v>
      </c>
      <c r="AM53" s="56">
        <f t="shared" si="0"/>
        <v>0</v>
      </c>
      <c r="AN53" s="56">
        <f t="shared" si="0"/>
        <v>0</v>
      </c>
      <c r="AO53" s="56">
        <f t="shared" si="0"/>
        <v>0</v>
      </c>
      <c r="AP53" s="56">
        <f t="shared" si="0"/>
        <v>0</v>
      </c>
      <c r="AQ53" s="56">
        <f t="shared" si="0"/>
        <v>0</v>
      </c>
      <c r="AR53" s="56">
        <f t="shared" si="0"/>
        <v>0</v>
      </c>
      <c r="AS53" s="56">
        <f t="shared" si="0"/>
        <v>0</v>
      </c>
      <c r="AT53" s="56">
        <f t="shared" si="0"/>
        <v>0</v>
      </c>
      <c r="AU53" s="56">
        <f t="shared" si="0"/>
        <v>0</v>
      </c>
    </row>
    <row r="54" spans="2:47">
      <c r="B54" t="s">
        <v>954</v>
      </c>
      <c r="C54" s="56">
        <f t="shared" si="1"/>
        <v>0</v>
      </c>
      <c r="D54" s="56">
        <f t="shared" si="0"/>
        <v>0</v>
      </c>
      <c r="E54" s="56">
        <f t="shared" si="0"/>
        <v>0</v>
      </c>
      <c r="F54" s="56">
        <f t="shared" si="0"/>
        <v>0</v>
      </c>
      <c r="G54" s="56">
        <f t="shared" si="0"/>
        <v>0</v>
      </c>
      <c r="H54" s="56">
        <f t="shared" si="0"/>
        <v>0</v>
      </c>
      <c r="I54" s="56">
        <f t="shared" si="0"/>
        <v>0</v>
      </c>
      <c r="J54" s="56">
        <f t="shared" si="0"/>
        <v>0</v>
      </c>
      <c r="K54" s="56">
        <f t="shared" si="0"/>
        <v>0</v>
      </c>
      <c r="L54" s="56">
        <f t="shared" si="0"/>
        <v>0</v>
      </c>
      <c r="M54" s="56">
        <f t="shared" si="0"/>
        <v>0</v>
      </c>
      <c r="N54" s="56">
        <f t="shared" si="0"/>
        <v>0</v>
      </c>
      <c r="O54" s="56">
        <f t="shared" si="0"/>
        <v>0</v>
      </c>
      <c r="P54" s="56">
        <f t="shared" si="0"/>
        <v>0</v>
      </c>
      <c r="Q54" s="56">
        <f t="shared" si="0"/>
        <v>0</v>
      </c>
      <c r="R54" s="56">
        <f t="shared" si="0"/>
        <v>0</v>
      </c>
      <c r="S54" s="56">
        <f t="shared" si="0"/>
        <v>0</v>
      </c>
      <c r="T54" s="56">
        <f t="shared" si="0"/>
        <v>0</v>
      </c>
      <c r="U54" s="56">
        <f t="shared" si="0"/>
        <v>0</v>
      </c>
      <c r="V54" s="56">
        <f t="shared" si="0"/>
        <v>0</v>
      </c>
      <c r="W54" s="56">
        <f t="shared" si="0"/>
        <v>0</v>
      </c>
      <c r="X54" s="56">
        <f t="shared" si="0"/>
        <v>0</v>
      </c>
      <c r="Y54" s="56">
        <f t="shared" si="0"/>
        <v>0</v>
      </c>
      <c r="Z54" s="56">
        <f t="shared" si="0"/>
        <v>0</v>
      </c>
      <c r="AA54" s="56">
        <f t="shared" si="0"/>
        <v>0</v>
      </c>
      <c r="AB54" s="56">
        <f t="shared" si="0"/>
        <v>0</v>
      </c>
      <c r="AC54" s="56">
        <f t="shared" si="0"/>
        <v>0</v>
      </c>
      <c r="AD54" s="56">
        <f t="shared" si="0"/>
        <v>0</v>
      </c>
      <c r="AE54" s="56">
        <f t="shared" si="0"/>
        <v>0</v>
      </c>
      <c r="AF54" s="56">
        <f t="shared" si="0"/>
        <v>0</v>
      </c>
      <c r="AG54" s="56">
        <f t="shared" si="0"/>
        <v>0</v>
      </c>
      <c r="AH54" s="56">
        <f t="shared" si="0"/>
        <v>0</v>
      </c>
      <c r="AI54" s="56">
        <f t="shared" si="0"/>
        <v>0</v>
      </c>
      <c r="AJ54" s="56">
        <f t="shared" si="0"/>
        <v>0</v>
      </c>
      <c r="AK54" s="56">
        <f t="shared" si="0"/>
        <v>0</v>
      </c>
      <c r="AL54" s="56">
        <f t="shared" si="0"/>
        <v>0</v>
      </c>
      <c r="AM54" s="56">
        <f t="shared" si="0"/>
        <v>0</v>
      </c>
      <c r="AN54" s="56">
        <f t="shared" si="0"/>
        <v>0</v>
      </c>
      <c r="AO54" s="56">
        <f t="shared" si="0"/>
        <v>0</v>
      </c>
      <c r="AP54" s="56">
        <f t="shared" si="0"/>
        <v>0</v>
      </c>
      <c r="AQ54" s="56">
        <f t="shared" si="0"/>
        <v>0</v>
      </c>
      <c r="AR54" s="56">
        <f t="shared" si="0"/>
        <v>0</v>
      </c>
      <c r="AS54" s="56">
        <f t="shared" si="0"/>
        <v>0</v>
      </c>
      <c r="AT54" s="56">
        <f t="shared" si="0"/>
        <v>0</v>
      </c>
      <c r="AU54" s="56">
        <f t="shared" si="0"/>
        <v>0</v>
      </c>
    </row>
    <row r="55" spans="2:47">
      <c r="B55" t="s">
        <v>955</v>
      </c>
      <c r="C55" s="56">
        <f t="shared" si="1"/>
        <v>0</v>
      </c>
      <c r="D55" s="56">
        <f t="shared" si="0"/>
        <v>0</v>
      </c>
      <c r="E55" s="56">
        <f t="shared" si="0"/>
        <v>0</v>
      </c>
      <c r="F55" s="56">
        <f t="shared" si="0"/>
        <v>0</v>
      </c>
      <c r="G55" s="56">
        <f t="shared" si="0"/>
        <v>0</v>
      </c>
      <c r="H55" s="56">
        <f t="shared" si="0"/>
        <v>0</v>
      </c>
      <c r="I55" s="56">
        <f t="shared" si="0"/>
        <v>0</v>
      </c>
      <c r="J55" s="56">
        <f t="shared" si="0"/>
        <v>0</v>
      </c>
      <c r="K55" s="56">
        <f t="shared" si="0"/>
        <v>0</v>
      </c>
      <c r="L55" s="56">
        <f t="shared" si="0"/>
        <v>0</v>
      </c>
      <c r="M55" s="56">
        <f t="shared" si="0"/>
        <v>0</v>
      </c>
      <c r="N55" s="56">
        <f t="shared" si="0"/>
        <v>0</v>
      </c>
      <c r="O55" s="56">
        <f t="shared" si="0"/>
        <v>0</v>
      </c>
      <c r="P55" s="56">
        <f t="shared" si="0"/>
        <v>0</v>
      </c>
      <c r="Q55" s="56">
        <f t="shared" si="0"/>
        <v>0</v>
      </c>
      <c r="R55" s="56">
        <f t="shared" si="0"/>
        <v>0</v>
      </c>
      <c r="S55" s="56">
        <f t="shared" si="0"/>
        <v>0</v>
      </c>
      <c r="T55" s="56">
        <f t="shared" si="0"/>
        <v>0</v>
      </c>
      <c r="U55" s="56">
        <f t="shared" si="0"/>
        <v>0</v>
      </c>
      <c r="V55" s="56">
        <f t="shared" si="0"/>
        <v>0</v>
      </c>
      <c r="W55" s="56">
        <f t="shared" si="0"/>
        <v>0</v>
      </c>
      <c r="X55" s="56">
        <f t="shared" si="0"/>
        <v>0</v>
      </c>
      <c r="Y55" s="56">
        <f t="shared" si="0"/>
        <v>0</v>
      </c>
      <c r="Z55" s="56">
        <f t="shared" si="0"/>
        <v>0</v>
      </c>
      <c r="AA55" s="56">
        <f t="shared" si="0"/>
        <v>0</v>
      </c>
      <c r="AB55" s="56">
        <f t="shared" si="0"/>
        <v>0</v>
      </c>
      <c r="AC55" s="56">
        <f t="shared" si="0"/>
        <v>0</v>
      </c>
      <c r="AD55" s="56">
        <f t="shared" si="0"/>
        <v>0</v>
      </c>
      <c r="AE55" s="56">
        <f t="shared" si="0"/>
        <v>0</v>
      </c>
      <c r="AF55" s="56">
        <f t="shared" si="0"/>
        <v>0</v>
      </c>
      <c r="AG55" s="56">
        <f t="shared" si="0"/>
        <v>0</v>
      </c>
      <c r="AH55" s="56">
        <f t="shared" si="0"/>
        <v>0</v>
      </c>
      <c r="AI55" s="56">
        <f t="shared" si="0"/>
        <v>0</v>
      </c>
      <c r="AJ55" s="56">
        <f t="shared" si="0"/>
        <v>0</v>
      </c>
      <c r="AK55" s="56">
        <f t="shared" si="0"/>
        <v>0</v>
      </c>
      <c r="AL55" s="56">
        <f t="shared" si="0"/>
        <v>0</v>
      </c>
      <c r="AM55" s="56">
        <f t="shared" si="0"/>
        <v>0</v>
      </c>
      <c r="AN55" s="56">
        <f t="shared" si="0"/>
        <v>0</v>
      </c>
      <c r="AO55" s="56">
        <f t="shared" si="0"/>
        <v>0</v>
      </c>
      <c r="AP55" s="56">
        <f t="shared" si="0"/>
        <v>0</v>
      </c>
      <c r="AQ55" s="56">
        <f t="shared" si="0"/>
        <v>0</v>
      </c>
      <c r="AR55" s="56">
        <f t="shared" si="0"/>
        <v>0</v>
      </c>
      <c r="AS55" s="56">
        <f t="shared" si="0"/>
        <v>0</v>
      </c>
      <c r="AT55" s="56">
        <f t="shared" si="0"/>
        <v>0</v>
      </c>
      <c r="AU55" s="56">
        <f t="shared" si="0"/>
        <v>0</v>
      </c>
    </row>
  </sheetData>
  <phoneticPr fontId="3"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U64"/>
  <sheetViews>
    <sheetView zoomScale="80" workbookViewId="0">
      <selection activeCell="I32" sqref="I32"/>
    </sheetView>
  </sheetViews>
  <sheetFormatPr defaultColWidth="8.7265625" defaultRowHeight="14.5"/>
  <cols>
    <col min="1" max="1" width="14.453125" customWidth="1"/>
    <col min="2" max="2" width="11.1796875" bestFit="1" customWidth="1"/>
    <col min="3" max="3" width="9.453125" customWidth="1"/>
    <col min="4" max="4" width="9.7265625" bestFit="1" customWidth="1"/>
    <col min="7" max="7" width="10.81640625" bestFit="1" customWidth="1"/>
    <col min="8" max="8" width="5.81640625" customWidth="1"/>
    <col min="9" max="9" width="6.1796875" style="508" customWidth="1"/>
    <col min="10" max="10" width="5.81640625" customWidth="1"/>
    <col min="19" max="19" width="6.453125" style="508" customWidth="1"/>
    <col min="20" max="20" width="6.26953125" customWidth="1"/>
    <col min="29" max="29" width="6" style="508" customWidth="1"/>
    <col min="39" max="39" width="6.7265625" style="508" customWidth="1"/>
    <col min="42" max="42" width="10.1796875" bestFit="1" customWidth="1"/>
  </cols>
  <sheetData>
    <row r="1" spans="1:47" ht="26.15" customHeight="1">
      <c r="A1" s="106" t="s">
        <v>969</v>
      </c>
    </row>
    <row r="2" spans="1:47">
      <c r="A2" s="18"/>
    </row>
    <row r="3" spans="1:47" s="506" customFormat="1" ht="15.5">
      <c r="A3" s="505" t="s">
        <v>512</v>
      </c>
      <c r="I3" s="509"/>
      <c r="K3" s="507" t="s">
        <v>937</v>
      </c>
      <c r="S3" s="509"/>
      <c r="U3" s="507" t="s">
        <v>938</v>
      </c>
      <c r="AC3" s="509"/>
      <c r="AE3" s="507" t="s">
        <v>939</v>
      </c>
      <c r="AM3" s="509"/>
      <c r="AO3" s="507" t="s">
        <v>516</v>
      </c>
    </row>
    <row r="4" spans="1:47" s="54" customFormat="1">
      <c r="A4" s="54" t="s">
        <v>557</v>
      </c>
      <c r="B4" s="54" t="s">
        <v>940</v>
      </c>
      <c r="C4" s="54" t="s">
        <v>941</v>
      </c>
      <c r="D4" s="54" t="s">
        <v>942</v>
      </c>
      <c r="E4" s="54" t="s">
        <v>943</v>
      </c>
      <c r="F4" s="54" t="s">
        <v>944</v>
      </c>
      <c r="G4" s="54" t="s">
        <v>945</v>
      </c>
      <c r="I4" s="510"/>
      <c r="K4" s="54" t="s">
        <v>557</v>
      </c>
      <c r="L4" s="54" t="s">
        <v>940</v>
      </c>
      <c r="M4" s="54" t="s">
        <v>941</v>
      </c>
      <c r="N4" s="54" t="s">
        <v>942</v>
      </c>
      <c r="O4" s="54" t="s">
        <v>943</v>
      </c>
      <c r="P4" s="54" t="s">
        <v>944</v>
      </c>
      <c r="Q4" s="54" t="s">
        <v>945</v>
      </c>
      <c r="S4" s="510"/>
      <c r="U4" s="54" t="s">
        <v>557</v>
      </c>
      <c r="V4" s="54" t="s">
        <v>940</v>
      </c>
      <c r="W4" s="54" t="s">
        <v>941</v>
      </c>
      <c r="X4" s="54" t="s">
        <v>942</v>
      </c>
      <c r="Y4" s="54" t="s">
        <v>943</v>
      </c>
      <c r="Z4" s="54" t="s">
        <v>944</v>
      </c>
      <c r="AA4" s="54" t="s">
        <v>945</v>
      </c>
      <c r="AC4" s="510"/>
      <c r="AE4" s="54" t="s">
        <v>557</v>
      </c>
      <c r="AF4" s="54" t="s">
        <v>940</v>
      </c>
      <c r="AG4" s="54" t="s">
        <v>941</v>
      </c>
      <c r="AH4" s="54" t="s">
        <v>942</v>
      </c>
      <c r="AI4" s="54" t="s">
        <v>943</v>
      </c>
      <c r="AJ4" s="54" t="s">
        <v>944</v>
      </c>
      <c r="AK4" s="54" t="s">
        <v>945</v>
      </c>
      <c r="AM4" s="510"/>
      <c r="AO4" s="54" t="s">
        <v>557</v>
      </c>
      <c r="AP4" s="54" t="s">
        <v>940</v>
      </c>
      <c r="AQ4" s="54" t="s">
        <v>941</v>
      </c>
      <c r="AR4" s="54" t="s">
        <v>942</v>
      </c>
      <c r="AS4" s="54" t="s">
        <v>943</v>
      </c>
      <c r="AT4" s="54" t="s">
        <v>944</v>
      </c>
      <c r="AU4" s="54" t="s">
        <v>945</v>
      </c>
    </row>
    <row r="5" spans="1:47">
      <c r="A5" s="58">
        <v>2006</v>
      </c>
      <c r="B5" s="113">
        <f>'Future Type Share'!U7*'Future EndUse Share'!AA68</f>
        <v>1911.1477561779245</v>
      </c>
      <c r="C5" s="58">
        <f>'Future Type Share'!Q7*0.5*'Future EndUse Share'!P68</f>
        <v>0</v>
      </c>
      <c r="D5" s="58">
        <f>'Future Type Share'!Q7*'Future EndUse Share'!P68</f>
        <v>0</v>
      </c>
      <c r="E5" s="113">
        <f>C5</f>
        <v>0</v>
      </c>
      <c r="F5" s="58">
        <v>0</v>
      </c>
      <c r="G5" s="58">
        <v>0</v>
      </c>
      <c r="K5" s="512">
        <v>2006</v>
      </c>
      <c r="L5" s="113">
        <f>'Future Type Share'!U7*'Future EndUse Share'!Y68</f>
        <v>5435.9123110378914</v>
      </c>
      <c r="M5" s="513">
        <f>'Future Type Share'!S7*0.5*'Future EndUse Share'!N68</f>
        <v>0</v>
      </c>
      <c r="N5" s="513">
        <f>'Future Type Share'!Q7*'Future EndUse Share'!N68</f>
        <v>0</v>
      </c>
      <c r="O5" s="513">
        <f>M5</f>
        <v>0</v>
      </c>
      <c r="P5" s="512">
        <v>0</v>
      </c>
      <c r="Q5" s="512">
        <v>0</v>
      </c>
      <c r="U5" s="58">
        <v>2006</v>
      </c>
      <c r="V5" s="58">
        <v>0</v>
      </c>
      <c r="W5" s="58">
        <v>0</v>
      </c>
      <c r="X5" s="58">
        <v>0</v>
      </c>
      <c r="Y5" s="58">
        <v>0</v>
      </c>
      <c r="Z5" s="58">
        <v>0</v>
      </c>
      <c r="AA5" s="58">
        <v>0</v>
      </c>
      <c r="AE5" s="58">
        <v>2006</v>
      </c>
      <c r="AF5" s="113">
        <f>'Future Type Share'!U7*('Future EndUse Share'!Z68+'Future EndUse Share'!AB68+'Future EndUse Share'!AC68+'Future EndUse Share'!AD68)</f>
        <v>8152.7825871499181</v>
      </c>
      <c r="AG5" s="113">
        <f>'Future Type Share'!S7*0.5*('Future EndUse Share'!O68+'Future EndUse Share'!Q68+'Future EndUse Share'!R68+'Future EndUse Share'!S68)</f>
        <v>0</v>
      </c>
      <c r="AH5" s="113">
        <f>'Future Type Share'!Q7*('Future EndUse Share'!O68+'Future EndUse Share'!Q68+'Future EndUse Share'!R68+'Future EndUse Share'!S68)</f>
        <v>8447.1683333333349</v>
      </c>
      <c r="AI5" s="113">
        <f>AG5</f>
        <v>0</v>
      </c>
      <c r="AJ5" s="58">
        <v>0</v>
      </c>
      <c r="AK5" s="58">
        <v>0</v>
      </c>
      <c r="AO5" s="58">
        <v>2006</v>
      </c>
      <c r="AP5" s="113">
        <f>'Future Type Share'!U7*('Future EndUse Share'!AE68)</f>
        <v>980.54910444810548</v>
      </c>
      <c r="AQ5" s="113">
        <f>'Future Type Share'!S7*0.5*('Future EndUse Share'!T68)</f>
        <v>0</v>
      </c>
      <c r="AR5" s="113">
        <f>'Future Type Share'!Q7*'Future EndUse Share'!T68</f>
        <v>39.010937500000004</v>
      </c>
      <c r="AS5" s="113">
        <f>AQ5</f>
        <v>0</v>
      </c>
      <c r="AT5" s="58">
        <v>0</v>
      </c>
      <c r="AU5" s="58">
        <v>0</v>
      </c>
    </row>
    <row r="6" spans="1:47">
      <c r="A6" s="58">
        <v>2007</v>
      </c>
      <c r="B6" s="113">
        <f>'Future Type Share'!U8*'Future EndUse Share'!AA69</f>
        <v>1850.1046096105729</v>
      </c>
      <c r="C6" s="58">
        <f>'Future Type Share'!Q8*0.5*'Future EndUse Share'!P69</f>
        <v>0</v>
      </c>
      <c r="D6" s="58">
        <f>'Future Type Share'!Q8*'Future EndUse Share'!P69</f>
        <v>0</v>
      </c>
      <c r="E6" s="113">
        <f t="shared" ref="E6:E15" si="0">C6</f>
        <v>0</v>
      </c>
      <c r="F6" s="113">
        <f t="shared" ref="F6:G10" si="1">TREND(F$11:F$15,$A$11:$A$15,$A6)</f>
        <v>0</v>
      </c>
      <c r="G6" s="113">
        <f t="shared" si="1"/>
        <v>0</v>
      </c>
      <c r="K6" s="512">
        <v>2007</v>
      </c>
      <c r="L6" s="113">
        <f>'Future Type Share'!U8*'Future EndUse Share'!Y69</f>
        <v>5372.7730705074746</v>
      </c>
      <c r="M6" s="513">
        <f>'Future Type Share'!S8*0.5*'Future EndUse Share'!N69</f>
        <v>0</v>
      </c>
      <c r="N6" s="513">
        <f>'Future Type Share'!Q8*'Future EndUse Share'!N69</f>
        <v>0</v>
      </c>
      <c r="O6" s="513">
        <f t="shared" ref="O6:O15" si="2">M6</f>
        <v>0</v>
      </c>
      <c r="P6" s="512">
        <v>0</v>
      </c>
      <c r="Q6" s="512">
        <v>0</v>
      </c>
      <c r="U6" s="58">
        <v>2007</v>
      </c>
      <c r="V6" s="58">
        <v>0</v>
      </c>
      <c r="W6" s="58">
        <v>0</v>
      </c>
      <c r="X6" s="58">
        <v>0</v>
      </c>
      <c r="Y6" s="58">
        <v>0</v>
      </c>
      <c r="Z6" s="58">
        <v>0</v>
      </c>
      <c r="AA6" s="58">
        <v>0</v>
      </c>
      <c r="AE6" s="58">
        <v>2007</v>
      </c>
      <c r="AF6" s="113">
        <f>'Future Type Share'!U8*('Future EndUse Share'!Z69+'Future EndUse Share'!AB69+'Future EndUse Share'!AC69+'Future EndUse Share'!AD69)</f>
        <v>8630.2129595175484</v>
      </c>
      <c r="AG6" s="113">
        <f>'Future Type Share'!S8*0.5*('Future EndUse Share'!O69+'Future EndUse Share'!Q69+'Future EndUse Share'!R69+'Future EndUse Share'!S69)</f>
        <v>0</v>
      </c>
      <c r="AH6" s="113">
        <f>'Future Type Share'!Q8*('Future EndUse Share'!O69+'Future EndUse Share'!Q69+'Future EndUse Share'!R69+'Future EndUse Share'!S69)</f>
        <v>8270.3520056261732</v>
      </c>
      <c r="AI6" s="113">
        <f t="shared" ref="AI6:AI49" si="3">AG6</f>
        <v>0</v>
      </c>
      <c r="AJ6" s="58">
        <v>0</v>
      </c>
      <c r="AK6" s="58">
        <v>0</v>
      </c>
      <c r="AO6" s="58">
        <v>2007</v>
      </c>
      <c r="AP6" s="113">
        <f>'Future Type Share'!U8*('Future EndUse Share'!AE69)</f>
        <v>1020.8593603644063</v>
      </c>
      <c r="AQ6" s="113">
        <f>'Future Type Share'!S8*0.5*('Future EndUse Share'!T69)</f>
        <v>0</v>
      </c>
      <c r="AR6" s="113">
        <f>'Future Type Share'!Q8*'Future EndUse Share'!T69</f>
        <v>40.697994373827882</v>
      </c>
      <c r="AS6" s="113">
        <f t="shared" ref="AS6:AS49" si="4">AQ6</f>
        <v>0</v>
      </c>
      <c r="AT6" s="58">
        <v>0</v>
      </c>
      <c r="AU6" s="58">
        <v>0</v>
      </c>
    </row>
    <row r="7" spans="1:47">
      <c r="A7" s="58">
        <v>2008</v>
      </c>
      <c r="B7" s="113">
        <f>'Future Type Share'!U9*'Future EndUse Share'!AA70</f>
        <v>1740.2225788002036</v>
      </c>
      <c r="C7" s="58">
        <f>'Future Type Share'!Q9*0.5*'Future EndUse Share'!P70</f>
        <v>0</v>
      </c>
      <c r="D7" s="58">
        <f>'Future Type Share'!Q9*'Future EndUse Share'!P70</f>
        <v>0</v>
      </c>
      <c r="E7" s="113">
        <f t="shared" si="0"/>
        <v>0</v>
      </c>
      <c r="F7" s="113">
        <f t="shared" si="1"/>
        <v>0</v>
      </c>
      <c r="G7" s="113">
        <f t="shared" si="1"/>
        <v>0</v>
      </c>
      <c r="K7" s="512">
        <v>2008</v>
      </c>
      <c r="L7" s="113">
        <f>'Future Type Share'!U9*'Future EndUse Share'!Y70</f>
        <v>5178.9023945094059</v>
      </c>
      <c r="M7" s="513">
        <f>'Future Type Share'!S9*0.5*'Future EndUse Share'!N70</f>
        <v>0</v>
      </c>
      <c r="N7" s="513">
        <f>'Future Type Share'!Q9*'Future EndUse Share'!N70</f>
        <v>0</v>
      </c>
      <c r="O7" s="513">
        <f t="shared" si="2"/>
        <v>0</v>
      </c>
      <c r="P7" s="512">
        <v>0</v>
      </c>
      <c r="Q7" s="512">
        <v>0</v>
      </c>
      <c r="U7" s="58">
        <v>2008</v>
      </c>
      <c r="V7" s="58">
        <v>0</v>
      </c>
      <c r="W7" s="58">
        <v>0</v>
      </c>
      <c r="X7" s="58">
        <v>0</v>
      </c>
      <c r="Y7" s="58">
        <v>0</v>
      </c>
      <c r="Z7" s="58">
        <v>0</v>
      </c>
      <c r="AA7" s="58">
        <v>0</v>
      </c>
      <c r="AE7" s="58">
        <v>2008</v>
      </c>
      <c r="AF7" s="113">
        <f>'Future Type Share'!U9*('Future EndUse Share'!Z70+'Future EndUse Share'!AB70+'Future EndUse Share'!AC70+'Future EndUse Share'!AD70)</f>
        <v>8899.2305414336552</v>
      </c>
      <c r="AG7" s="113">
        <f>'Future Type Share'!S9*0.5*('Future EndUse Share'!O70+'Future EndUse Share'!Q70+'Future EndUse Share'!R70+'Future EndUse Share'!S70)</f>
        <v>0</v>
      </c>
      <c r="AH7" s="113">
        <f>'Future Type Share'!Q9*('Future EndUse Share'!O70+'Future EndUse Share'!Q70+'Future EndUse Share'!R70+'Future EndUse Share'!S70)</f>
        <v>8382.0275533326549</v>
      </c>
      <c r="AI7" s="113">
        <f t="shared" si="3"/>
        <v>0</v>
      </c>
      <c r="AJ7" s="58">
        <v>0</v>
      </c>
      <c r="AK7" s="58">
        <v>0</v>
      </c>
      <c r="AO7" s="58">
        <v>2008</v>
      </c>
      <c r="AP7" s="113">
        <f>'Future Type Share'!U9*('Future EndUse Share'!AE70)</f>
        <v>1033.4244852567363</v>
      </c>
      <c r="AQ7" s="113">
        <f>'Future Type Share'!S9*0.5*('Future EndUse Share'!T70)</f>
        <v>0</v>
      </c>
      <c r="AR7" s="113">
        <f>'Future Type Share'!Q9*'Future EndUse Share'!T70</f>
        <v>44.722494641216706</v>
      </c>
      <c r="AS7" s="113">
        <f t="shared" si="4"/>
        <v>0</v>
      </c>
      <c r="AT7" s="58">
        <v>0</v>
      </c>
      <c r="AU7" s="58">
        <v>0</v>
      </c>
    </row>
    <row r="8" spans="1:47">
      <c r="A8" s="58">
        <v>2009</v>
      </c>
      <c r="B8" s="113">
        <f>'Future Type Share'!U10*'Future EndUse Share'!AA71</f>
        <v>1781.1002550269741</v>
      </c>
      <c r="C8" s="58">
        <f>'Future Type Share'!Q10*0.5*'Future EndUse Share'!P71</f>
        <v>0</v>
      </c>
      <c r="D8" s="58">
        <f>'Future Type Share'!Q10*'Future EndUse Share'!P71</f>
        <v>0</v>
      </c>
      <c r="E8" s="113">
        <f t="shared" si="0"/>
        <v>0</v>
      </c>
      <c r="F8" s="113">
        <f t="shared" si="1"/>
        <v>0</v>
      </c>
      <c r="G8" s="113">
        <f t="shared" si="1"/>
        <v>0</v>
      </c>
      <c r="K8" s="512">
        <v>2009</v>
      </c>
      <c r="L8" s="113">
        <f>'Future Type Share'!U10*'Future EndUse Share'!Y71</f>
        <v>5545.4268464933793</v>
      </c>
      <c r="M8" s="513">
        <f>'Future Type Share'!S10*0.5*'Future EndUse Share'!N71</f>
        <v>0</v>
      </c>
      <c r="N8" s="513">
        <f>'Future Type Share'!Q10*'Future EndUse Share'!N71</f>
        <v>0</v>
      </c>
      <c r="O8" s="513">
        <f t="shared" si="2"/>
        <v>0</v>
      </c>
      <c r="P8" s="512">
        <v>0</v>
      </c>
      <c r="Q8" s="512">
        <v>0</v>
      </c>
      <c r="U8" s="58">
        <v>2009</v>
      </c>
      <c r="V8" s="58">
        <v>0</v>
      </c>
      <c r="W8" s="58">
        <v>0</v>
      </c>
      <c r="X8" s="58">
        <v>0</v>
      </c>
      <c r="Y8" s="58">
        <v>0</v>
      </c>
      <c r="Z8" s="58">
        <v>0</v>
      </c>
      <c r="AA8" s="58">
        <v>0</v>
      </c>
      <c r="AE8" s="58">
        <v>2009</v>
      </c>
      <c r="AF8" s="113">
        <f>'Future Type Share'!U10*('Future EndUse Share'!Z71+'Future EndUse Share'!AB71+'Future EndUse Share'!AC71+'Future EndUse Share'!AD71)</f>
        <v>9210.8637959784228</v>
      </c>
      <c r="AG8" s="113">
        <f>'Future Type Share'!S10*0.5*('Future EndUse Share'!O71+'Future EndUse Share'!Q71+'Future EndUse Share'!R71+'Future EndUse Share'!S71)</f>
        <v>0</v>
      </c>
      <c r="AH8" s="113">
        <f>'Future Type Share'!Q10*('Future EndUse Share'!O71+'Future EndUse Share'!Q71+'Future EndUse Share'!R71+'Future EndUse Share'!S71)</f>
        <v>8303.2832472324717</v>
      </c>
      <c r="AI8" s="113">
        <f t="shared" si="3"/>
        <v>0</v>
      </c>
      <c r="AJ8" s="58">
        <v>0</v>
      </c>
      <c r="AK8" s="58">
        <v>0</v>
      </c>
      <c r="AO8" s="58">
        <v>2009</v>
      </c>
      <c r="AP8" s="113">
        <f>'Future Type Share'!U10*('Future EndUse Share'!AE71)</f>
        <v>1188.8491025012263</v>
      </c>
      <c r="AQ8" s="113">
        <f>'Future Type Share'!S10*0.5*('Future EndUse Share'!T71)</f>
        <v>0</v>
      </c>
      <c r="AR8" s="113">
        <f>'Future Type Share'!Q10*'Future EndUse Share'!T71</f>
        <v>38.476752767527678</v>
      </c>
      <c r="AS8" s="113">
        <f t="shared" si="4"/>
        <v>0</v>
      </c>
      <c r="AT8" s="58">
        <v>0</v>
      </c>
      <c r="AU8" s="58">
        <v>0</v>
      </c>
    </row>
    <row r="9" spans="1:47">
      <c r="A9" s="58">
        <v>2010</v>
      </c>
      <c r="B9" s="113">
        <f>'Future Type Share'!U11*'Future EndUse Share'!AA72</f>
        <v>1014.6814336633663</v>
      </c>
      <c r="C9" s="58">
        <f>'Future Type Share'!Q11*0.5*'Future EndUse Share'!P72</f>
        <v>0</v>
      </c>
      <c r="D9" s="58">
        <f>'Future Type Share'!Q11*'Future EndUse Share'!P72</f>
        <v>0</v>
      </c>
      <c r="E9" s="113">
        <f t="shared" si="0"/>
        <v>0</v>
      </c>
      <c r="F9" s="113">
        <f t="shared" si="1"/>
        <v>0</v>
      </c>
      <c r="G9" s="113">
        <f t="shared" si="1"/>
        <v>0</v>
      </c>
      <c r="K9" s="512">
        <v>2010</v>
      </c>
      <c r="L9" s="113">
        <f>'Future Type Share'!U11*'Future EndUse Share'!Y72</f>
        <v>3075.116910891089</v>
      </c>
      <c r="M9" s="513">
        <f>'Future Type Share'!S11*0.5*'Future EndUse Share'!N72</f>
        <v>0</v>
      </c>
      <c r="N9" s="513">
        <f>'Future Type Share'!Q11*'Future EndUse Share'!N72</f>
        <v>0</v>
      </c>
      <c r="O9" s="513">
        <f t="shared" si="2"/>
        <v>0</v>
      </c>
      <c r="P9" s="512">
        <v>0</v>
      </c>
      <c r="Q9" s="512">
        <v>0</v>
      </c>
      <c r="U9" s="58">
        <v>2010</v>
      </c>
      <c r="V9" s="58">
        <v>0</v>
      </c>
      <c r="W9" s="58">
        <v>0</v>
      </c>
      <c r="X9" s="58">
        <v>0</v>
      </c>
      <c r="Y9" s="58">
        <v>0</v>
      </c>
      <c r="Z9" s="58">
        <v>0</v>
      </c>
      <c r="AA9" s="58">
        <v>0</v>
      </c>
      <c r="AE9" s="58">
        <v>2010</v>
      </c>
      <c r="AF9" s="113">
        <f>'Future Type Share'!U11*('Future EndUse Share'!Z72+'Future EndUse Share'!AB72+'Future EndUse Share'!AC72+'Future EndUse Share'!AD72)</f>
        <v>5739.8610772277234</v>
      </c>
      <c r="AG9" s="113">
        <f>'Future Type Share'!S11*0.5*('Future EndUse Share'!O72+'Future EndUse Share'!Q72+'Future EndUse Share'!R72+'Future EndUse Share'!S72)</f>
        <v>0</v>
      </c>
      <c r="AH9" s="113">
        <f>'Future Type Share'!Q11*('Future EndUse Share'!O72+'Future EndUse Share'!Q72+'Future EndUse Share'!R72+'Future EndUse Share'!S72)</f>
        <v>5493.0945009914085</v>
      </c>
      <c r="AI9" s="113">
        <f t="shared" si="3"/>
        <v>0</v>
      </c>
      <c r="AJ9" s="58">
        <v>0</v>
      </c>
      <c r="AK9" s="58">
        <v>0</v>
      </c>
      <c r="AO9" s="58">
        <v>2010</v>
      </c>
      <c r="AP9" s="113">
        <f>'Future Type Share'!U11*('Future EndUse Share'!AE72)</f>
        <v>768.24349306930685</v>
      </c>
      <c r="AQ9" s="113">
        <f>'Future Type Share'!S11*0.5*('Future EndUse Share'!T72)</f>
        <v>0</v>
      </c>
      <c r="AR9" s="113">
        <f>'Future Type Share'!Q11*'Future EndUse Share'!T72</f>
        <v>22.018175809649705</v>
      </c>
      <c r="AS9" s="113">
        <f t="shared" si="4"/>
        <v>0</v>
      </c>
      <c r="AT9" s="58">
        <v>0</v>
      </c>
      <c r="AU9" s="58">
        <v>0</v>
      </c>
    </row>
    <row r="10" spans="1:47">
      <c r="A10" s="58">
        <v>2011</v>
      </c>
      <c r="B10" s="113">
        <f>'Future Type Share'!U12*'Future EndUse Share'!AA73</f>
        <v>45.680981595092028</v>
      </c>
      <c r="C10" s="58">
        <f>'Future Type Share'!Q12*0.5*'Future EndUse Share'!P73</f>
        <v>384.21052631578948</v>
      </c>
      <c r="D10" s="58">
        <f>'Future Type Share'!Q12*'Future EndUse Share'!P73</f>
        <v>768.42105263157896</v>
      </c>
      <c r="E10" s="113">
        <f t="shared" si="0"/>
        <v>384.21052631578948</v>
      </c>
      <c r="F10" s="113">
        <f t="shared" si="1"/>
        <v>0</v>
      </c>
      <c r="G10" s="113">
        <f t="shared" si="1"/>
        <v>0</v>
      </c>
      <c r="K10" s="512">
        <v>2011</v>
      </c>
      <c r="L10" s="113">
        <f>'Future Type Share'!U12*'Future EndUse Share'!Y73</f>
        <v>3187.8799298860649</v>
      </c>
      <c r="M10" s="513">
        <f>'Future Type Share'!S12*0.5*'Future EndUse Share'!N73</f>
        <v>0</v>
      </c>
      <c r="N10" s="513">
        <f>'Future Type Share'!Q12*'Future EndUse Share'!N73</f>
        <v>0</v>
      </c>
      <c r="O10" s="513">
        <f t="shared" si="2"/>
        <v>0</v>
      </c>
      <c r="P10" s="512">
        <v>0</v>
      </c>
      <c r="Q10" s="512">
        <v>0</v>
      </c>
      <c r="U10" s="58">
        <v>2011</v>
      </c>
      <c r="V10" s="58">
        <v>0</v>
      </c>
      <c r="W10" s="58">
        <v>0</v>
      </c>
      <c r="X10" s="58">
        <v>0</v>
      </c>
      <c r="Y10" s="58">
        <v>0</v>
      </c>
      <c r="Z10" s="58">
        <v>0</v>
      </c>
      <c r="AA10" s="58">
        <v>0</v>
      </c>
      <c r="AE10" s="58">
        <v>2011</v>
      </c>
      <c r="AF10" s="113">
        <f>'Future Type Share'!U12*('Future EndUse Share'!Z73+'Future EndUse Share'!AB73+'Future EndUse Share'!AC73+'Future EndUse Share'!AD73)</f>
        <v>6066.8694127957933</v>
      </c>
      <c r="AG10" s="113">
        <f>'Future Type Share'!S12*0.5*('Future EndUse Share'!O73+'Future EndUse Share'!Q73+'Future EndUse Share'!R73+'Future EndUse Share'!S73)</f>
        <v>0</v>
      </c>
      <c r="AH10" s="113">
        <f>'Future Type Share'!Q12*('Future EndUse Share'!O73+'Future EndUse Share'!Q73+'Future EndUse Share'!R73+'Future EndUse Share'!S73)</f>
        <v>5235.5087719298244</v>
      </c>
      <c r="AI10" s="113">
        <f t="shared" si="3"/>
        <v>0</v>
      </c>
      <c r="AJ10" s="58">
        <v>0</v>
      </c>
      <c r="AK10" s="58">
        <v>0</v>
      </c>
      <c r="AO10" s="58">
        <v>2011</v>
      </c>
      <c r="AP10" s="113">
        <f>'Future Type Share'!U12*('Future EndUse Share'!AE73)</f>
        <v>888.60385626643301</v>
      </c>
      <c r="AQ10" s="113">
        <f>'Future Type Share'!S12*0.5*('Future EndUse Share'!T73)</f>
        <v>0</v>
      </c>
      <c r="AR10" s="113">
        <f>'Future Type Share'!Q12*'Future EndUse Share'!T73</f>
        <v>20.491228070175438</v>
      </c>
      <c r="AS10" s="113">
        <f t="shared" si="4"/>
        <v>0</v>
      </c>
      <c r="AT10" s="58">
        <v>0</v>
      </c>
      <c r="AU10" s="58">
        <v>0</v>
      </c>
    </row>
    <row r="11" spans="1:47">
      <c r="A11" s="58">
        <v>2012</v>
      </c>
      <c r="B11" s="113">
        <f>'Future Type Share'!U13*'Future EndUse Share'!AA74</f>
        <v>1057.5617200674535</v>
      </c>
      <c r="C11" s="58">
        <f>'Future Type Share'!Q13*0.5*'Future EndUse Share'!P74</f>
        <v>0</v>
      </c>
      <c r="D11" s="58">
        <f>'Future Type Share'!Q13*'Future EndUse Share'!P74</f>
        <v>0</v>
      </c>
      <c r="E11" s="113">
        <f t="shared" si="0"/>
        <v>0</v>
      </c>
      <c r="F11" s="58">
        <v>0</v>
      </c>
      <c r="G11" s="58">
        <v>0</v>
      </c>
      <c r="K11" s="512">
        <v>2012</v>
      </c>
      <c r="L11" s="113">
        <f>'Future Type Share'!U13*'Future EndUse Share'!Y74</f>
        <v>3302.4272681281618</v>
      </c>
      <c r="M11" s="513">
        <f>'Future Type Share'!S13*0.5*'Future EndUse Share'!N74</f>
        <v>0</v>
      </c>
      <c r="N11" s="513">
        <f>'Future Type Share'!Q13*'Future EndUse Share'!N74</f>
        <v>0</v>
      </c>
      <c r="O11" s="513">
        <f t="shared" si="2"/>
        <v>0</v>
      </c>
      <c r="P11" s="512">
        <v>0</v>
      </c>
      <c r="Q11" s="512">
        <v>0</v>
      </c>
      <c r="U11" s="58">
        <v>2012</v>
      </c>
      <c r="V11" s="58">
        <v>0</v>
      </c>
      <c r="W11" s="58">
        <v>0</v>
      </c>
      <c r="X11" s="58">
        <v>0</v>
      </c>
      <c r="Y11" s="58">
        <v>0</v>
      </c>
      <c r="Z11" s="58">
        <v>0</v>
      </c>
      <c r="AA11" s="58">
        <v>0</v>
      </c>
      <c r="AE11" s="58">
        <v>2012</v>
      </c>
      <c r="AF11" s="113">
        <f>'Future Type Share'!U13*('Future EndUse Share'!Z74+'Future EndUse Share'!AB74+'Future EndUse Share'!AC74+'Future EndUse Share'!AD74)</f>
        <v>6215.6282124789195</v>
      </c>
      <c r="AG11" s="113">
        <f>'Future Type Share'!S13*0.5*('Future EndUse Share'!O74+'Future EndUse Share'!Q74+'Future EndUse Share'!R74+'Future EndUse Share'!S74)</f>
        <v>0</v>
      </c>
      <c r="AH11" s="113">
        <f>'Future Type Share'!Q13*('Future EndUse Share'!O74+'Future EndUse Share'!Q74+'Future EndUse Share'!R74+'Future EndUse Share'!S74)</f>
        <v>5210.7278197674414</v>
      </c>
      <c r="AI11" s="113">
        <f t="shared" si="3"/>
        <v>0</v>
      </c>
      <c r="AJ11" s="58">
        <v>0</v>
      </c>
      <c r="AK11" s="58">
        <v>0</v>
      </c>
      <c r="AO11" s="58">
        <v>2012</v>
      </c>
      <c r="AP11" s="113">
        <f>'Future Type Share'!U13*('Future EndUse Share'!AE74)</f>
        <v>1061.9227993254635</v>
      </c>
      <c r="AQ11" s="113">
        <f>'Future Type Share'!S13*0.5*('Future EndUse Share'!T74)</f>
        <v>0</v>
      </c>
      <c r="AR11" s="113">
        <f>'Future Type Share'!Q13*'Future EndUse Share'!T74</f>
        <v>17.732180232558139</v>
      </c>
      <c r="AS11" s="113">
        <f t="shared" si="4"/>
        <v>0</v>
      </c>
      <c r="AT11" s="58">
        <v>0</v>
      </c>
      <c r="AU11" s="58">
        <v>0</v>
      </c>
    </row>
    <row r="12" spans="1:47">
      <c r="A12" s="58">
        <v>2013</v>
      </c>
      <c r="B12" s="113">
        <f>'Future Type Share'!U14*'Future EndUse Share'!AA75</f>
        <v>885.31464939024409</v>
      </c>
      <c r="C12" s="58">
        <f>'Future Type Share'!Q14*0.5*'Future EndUse Share'!P75</f>
        <v>0</v>
      </c>
      <c r="D12" s="58">
        <f>'Future Type Share'!Q14*'Future EndUse Share'!P75</f>
        <v>0</v>
      </c>
      <c r="E12" s="113">
        <f t="shared" si="0"/>
        <v>0</v>
      </c>
      <c r="F12" s="58">
        <v>0</v>
      </c>
      <c r="G12" s="58">
        <v>0</v>
      </c>
      <c r="K12" s="512">
        <v>2013</v>
      </c>
      <c r="L12" s="113">
        <f>'Future Type Share'!U14*'Future EndUse Share'!Y75</f>
        <v>3101.2905640243903</v>
      </c>
      <c r="M12" s="513">
        <f>'Future Type Share'!S14*0.5*'Future EndUse Share'!N75</f>
        <v>0</v>
      </c>
      <c r="N12" s="513">
        <f>'Future Type Share'!Q14*'Future EndUse Share'!N75</f>
        <v>0</v>
      </c>
      <c r="O12" s="513">
        <f t="shared" si="2"/>
        <v>0</v>
      </c>
      <c r="P12" s="512">
        <v>0</v>
      </c>
      <c r="Q12" s="512">
        <v>0</v>
      </c>
      <c r="U12" s="58">
        <v>2013</v>
      </c>
      <c r="V12" s="58">
        <v>0</v>
      </c>
      <c r="W12" s="58">
        <v>0</v>
      </c>
      <c r="X12" s="58">
        <v>0</v>
      </c>
      <c r="Y12" s="58">
        <v>0</v>
      </c>
      <c r="Z12" s="58">
        <v>0</v>
      </c>
      <c r="AA12" s="58">
        <v>0</v>
      </c>
      <c r="AE12" s="58">
        <v>2013</v>
      </c>
      <c r="AF12" s="113">
        <f>'Future Type Share'!U14*('Future EndUse Share'!Z75+'Future EndUse Share'!AB75+'Future EndUse Share'!AC75+'Future EndUse Share'!AD75)</f>
        <v>6213.3382926829272</v>
      </c>
      <c r="AG12" s="113">
        <f>'Future Type Share'!S14*0.5*('Future EndUse Share'!O75+'Future EndUse Share'!Q75+'Future EndUse Share'!R75+'Future EndUse Share'!S75)</f>
        <v>0</v>
      </c>
      <c r="AH12" s="113">
        <f>'Future Type Share'!Q14*('Future EndUse Share'!O75+'Future EndUse Share'!Q75+'Future EndUse Share'!R75+'Future EndUse Share'!S75)</f>
        <v>5295.0123379174847</v>
      </c>
      <c r="AI12" s="113">
        <f t="shared" si="3"/>
        <v>0</v>
      </c>
      <c r="AJ12" s="58">
        <v>0</v>
      </c>
      <c r="AK12" s="58">
        <v>0</v>
      </c>
      <c r="AO12" s="58">
        <v>2013</v>
      </c>
      <c r="AP12" s="113">
        <f>'Future Type Share'!U14*('Future EndUse Share'!AE75)</f>
        <v>1089.7007774390245</v>
      </c>
      <c r="AQ12" s="113">
        <f>'Future Type Share'!S14*0.5*('Future EndUse Share'!T75)</f>
        <v>0</v>
      </c>
      <c r="AR12" s="113">
        <f>'Future Type Share'!Q14*'Future EndUse Share'!T75</f>
        <v>19.137550753110673</v>
      </c>
      <c r="AS12" s="113">
        <f t="shared" si="4"/>
        <v>0</v>
      </c>
      <c r="AT12" s="58">
        <v>0</v>
      </c>
      <c r="AU12" s="58">
        <v>0</v>
      </c>
    </row>
    <row r="13" spans="1:47">
      <c r="A13" s="58">
        <v>2014</v>
      </c>
      <c r="B13" s="113">
        <f>'Future Type Share'!U15*'Future EndUse Share'!AA76</f>
        <v>836.03331263307302</v>
      </c>
      <c r="C13" s="58">
        <f>'Future Type Share'!Q15*0.5*'Future EndUse Share'!P76</f>
        <v>0</v>
      </c>
      <c r="D13" s="58">
        <f>'Future Type Share'!Q15*'Future EndUse Share'!P76</f>
        <v>0</v>
      </c>
      <c r="E13" s="113">
        <f t="shared" si="0"/>
        <v>0</v>
      </c>
      <c r="F13" s="58">
        <v>0</v>
      </c>
      <c r="G13" s="58">
        <v>0</v>
      </c>
      <c r="K13" s="512">
        <v>2014</v>
      </c>
      <c r="L13" s="113">
        <f>'Future Type Share'!U15*'Future EndUse Share'!Y76</f>
        <v>3771.3193044712557</v>
      </c>
      <c r="M13" s="513">
        <f>'Future Type Share'!S15*0.5*'Future EndUse Share'!N76</f>
        <v>0</v>
      </c>
      <c r="N13" s="513">
        <f>'Future Type Share'!Q15*'Future EndUse Share'!N76</f>
        <v>0</v>
      </c>
      <c r="O13" s="513">
        <f t="shared" si="2"/>
        <v>0</v>
      </c>
      <c r="P13" s="512">
        <v>0</v>
      </c>
      <c r="Q13" s="512">
        <v>0</v>
      </c>
      <c r="U13" s="58">
        <v>2014</v>
      </c>
      <c r="V13" s="58">
        <v>0</v>
      </c>
      <c r="W13" s="58">
        <v>0</v>
      </c>
      <c r="X13" s="58">
        <v>0</v>
      </c>
      <c r="Y13" s="58">
        <v>0</v>
      </c>
      <c r="Z13" s="58">
        <v>0</v>
      </c>
      <c r="AA13" s="58">
        <v>0</v>
      </c>
      <c r="AE13" s="58">
        <v>2014</v>
      </c>
      <c r="AF13" s="113">
        <f>'Future Type Share'!U15*('Future EndUse Share'!Z76+'Future EndUse Share'!AB76+'Future EndUse Share'!AC76+'Future EndUse Share'!AD76)</f>
        <v>6319.3330908445705</v>
      </c>
      <c r="AG13" s="113">
        <f>'Future Type Share'!S15*0.5*('Future EndUse Share'!O76+'Future EndUse Share'!Q76+'Future EndUse Share'!R76+'Future EndUse Share'!S76)</f>
        <v>0</v>
      </c>
      <c r="AH13" s="113">
        <f>'Future Type Share'!Q15*('Future EndUse Share'!O76+'Future EndUse Share'!Q76+'Future EndUse Share'!R76+'Future EndUse Share'!S76)</f>
        <v>5190.7931628135766</v>
      </c>
      <c r="AI13" s="113">
        <f t="shared" si="3"/>
        <v>0</v>
      </c>
      <c r="AJ13" s="58">
        <v>0</v>
      </c>
      <c r="AK13" s="58">
        <v>0</v>
      </c>
      <c r="AO13" s="58">
        <v>2014</v>
      </c>
      <c r="AP13" s="113">
        <f>'Future Type Share'!U15*('Future EndUse Share'!AE76)</f>
        <v>1235.171797374024</v>
      </c>
      <c r="AQ13" s="113">
        <f>'Future Type Share'!S15*0.5*('Future EndUse Share'!T76)</f>
        <v>0</v>
      </c>
      <c r="AR13" s="113">
        <f>'Future Type Share'!Q15*'Future EndUse Share'!T76</f>
        <v>19.652385636989671</v>
      </c>
      <c r="AS13" s="113">
        <f t="shared" si="4"/>
        <v>0</v>
      </c>
      <c r="AT13" s="58">
        <v>0</v>
      </c>
      <c r="AU13" s="58">
        <v>0</v>
      </c>
    </row>
    <row r="14" spans="1:47">
      <c r="A14" s="58">
        <v>2015</v>
      </c>
      <c r="B14" s="113">
        <f>'Future Type Share'!U16*'Future EndUse Share'!AA77</f>
        <v>743.98522613976252</v>
      </c>
      <c r="C14" s="58">
        <f>'Future Type Share'!Q16*0.5*'Future EndUse Share'!P77</f>
        <v>0</v>
      </c>
      <c r="D14" s="58">
        <f>'Future Type Share'!Q16*'Future EndUse Share'!P77</f>
        <v>0</v>
      </c>
      <c r="E14" s="113">
        <f t="shared" si="0"/>
        <v>0</v>
      </c>
      <c r="F14" s="58">
        <v>0</v>
      </c>
      <c r="G14" s="58">
        <v>0</v>
      </c>
      <c r="K14" s="512">
        <v>2015</v>
      </c>
      <c r="L14" s="113">
        <f>'Future Type Share'!U16*'Future EndUse Share'!Y77</f>
        <v>3854.5110124172938</v>
      </c>
      <c r="M14" s="513">
        <f>'Future Type Share'!S16*0.5*'Future EndUse Share'!N77</f>
        <v>0</v>
      </c>
      <c r="N14" s="513">
        <f>'Future Type Share'!Q16*'Future EndUse Share'!N77</f>
        <v>0</v>
      </c>
      <c r="O14" s="513">
        <f t="shared" si="2"/>
        <v>0</v>
      </c>
      <c r="P14" s="512">
        <v>0</v>
      </c>
      <c r="Q14" s="512">
        <v>0</v>
      </c>
      <c r="U14" s="58">
        <v>2015</v>
      </c>
      <c r="V14" s="58">
        <v>0</v>
      </c>
      <c r="W14" s="58">
        <v>0</v>
      </c>
      <c r="X14" s="58">
        <v>0</v>
      </c>
      <c r="Y14" s="58">
        <v>0</v>
      </c>
      <c r="Z14" s="58">
        <v>0</v>
      </c>
      <c r="AA14" s="58">
        <v>0</v>
      </c>
      <c r="AE14" s="58">
        <v>2015</v>
      </c>
      <c r="AF14" s="113">
        <f>'Future Type Share'!U16*('Future EndUse Share'!Z77+'Future EndUse Share'!AB77+'Future EndUse Share'!AC77+'Future EndUse Share'!AD77)</f>
        <v>5975.5687483005522</v>
      </c>
      <c r="AG14" s="113">
        <f>'Future Type Share'!S16*0.5*('Future EndUse Share'!O77+'Future EndUse Share'!Q77+'Future EndUse Share'!R77+'Future EndUse Share'!S77)</f>
        <v>0</v>
      </c>
      <c r="AH14" s="113">
        <f>'Future Type Share'!Q16*('Future EndUse Share'!O77+'Future EndUse Share'!Q77+'Future EndUse Share'!R77+'Future EndUse Share'!S77)</f>
        <v>5072.1349166245582</v>
      </c>
      <c r="AI14" s="113">
        <f t="shared" si="3"/>
        <v>0</v>
      </c>
      <c r="AJ14" s="58">
        <v>0</v>
      </c>
      <c r="AK14" s="58">
        <v>0</v>
      </c>
      <c r="AO14" s="58">
        <v>2015</v>
      </c>
      <c r="AP14" s="113">
        <f>'Future Type Share'!U16*('Future EndUse Share'!AE77)</f>
        <v>1304.935013142391</v>
      </c>
      <c r="AQ14" s="113">
        <f>'Future Type Share'!S16*0.5*('Future EndUse Share'!T77)</f>
        <v>0</v>
      </c>
      <c r="AR14" s="113">
        <f>'Future Type Share'!Q16*'Future EndUse Share'!T77</f>
        <v>19.72258716523497</v>
      </c>
      <c r="AS14" s="113">
        <f t="shared" si="4"/>
        <v>0</v>
      </c>
      <c r="AT14" s="58">
        <v>0</v>
      </c>
      <c r="AU14" s="58">
        <v>0</v>
      </c>
    </row>
    <row r="15" spans="1:47">
      <c r="A15" s="58">
        <v>2016</v>
      </c>
      <c r="B15" s="113">
        <f>'Future Type Share'!U17*'Future EndUse Share'!AA78</f>
        <v>684.29512173209957</v>
      </c>
      <c r="C15" s="58">
        <f>'Future Type Share'!Q17*0.5*'Future EndUse Share'!P78</f>
        <v>0</v>
      </c>
      <c r="D15" s="58">
        <f>'Future Type Share'!Q17*'Future EndUse Share'!P78</f>
        <v>0</v>
      </c>
      <c r="E15" s="113">
        <f t="shared" si="0"/>
        <v>0</v>
      </c>
      <c r="F15" s="58">
        <v>0</v>
      </c>
      <c r="G15" s="58">
        <v>0</v>
      </c>
      <c r="K15" s="512">
        <v>2016</v>
      </c>
      <c r="L15" s="113">
        <f>'Future Type Share'!U17*'Future EndUse Share'!Y78</f>
        <v>4062.5293324948343</v>
      </c>
      <c r="M15" s="513">
        <f>'Future Type Share'!S17*0.5*'Future EndUse Share'!N78</f>
        <v>0</v>
      </c>
      <c r="N15" s="513">
        <f>'Future Type Share'!Q17*'Future EndUse Share'!N78</f>
        <v>0</v>
      </c>
      <c r="O15" s="513">
        <f t="shared" si="2"/>
        <v>0</v>
      </c>
      <c r="P15" s="512">
        <v>0</v>
      </c>
      <c r="Q15" s="512">
        <v>0</v>
      </c>
      <c r="U15" s="58">
        <v>2016</v>
      </c>
      <c r="V15" s="58">
        <v>0</v>
      </c>
      <c r="W15" s="58">
        <v>0</v>
      </c>
      <c r="X15" s="58">
        <v>0</v>
      </c>
      <c r="Y15" s="58">
        <v>0</v>
      </c>
      <c r="Z15" s="58">
        <v>0</v>
      </c>
      <c r="AA15" s="58">
        <v>0</v>
      </c>
      <c r="AE15" s="58">
        <v>2016</v>
      </c>
      <c r="AF15" s="113">
        <f>'Future Type Share'!U17*('Future EndUse Share'!Z78+'Future EndUse Share'!AB78+'Future EndUse Share'!AC78+'Future EndUse Share'!AD78)</f>
        <v>5884.0732189381006</v>
      </c>
      <c r="AG15" s="113">
        <f>'Future Type Share'!S17*0.5*('Future EndUse Share'!O78+'Future EndUse Share'!Q78+'Future EndUse Share'!R78+'Future EndUse Share'!S78)</f>
        <v>0</v>
      </c>
      <c r="AH15" s="113">
        <f>'Future Type Share'!Q17*('Future EndUse Share'!O78+'Future EndUse Share'!Q78+'Future EndUse Share'!R78+'Future EndUse Share'!S78)</f>
        <v>5136.5728668097045</v>
      </c>
      <c r="AI15" s="113">
        <f t="shared" si="3"/>
        <v>0</v>
      </c>
      <c r="AJ15" s="58">
        <v>0</v>
      </c>
      <c r="AK15" s="58">
        <v>0</v>
      </c>
      <c r="AO15" s="58">
        <v>2016</v>
      </c>
      <c r="AP15" s="113">
        <f>'Future Type Share'!U17*('Future EndUse Share'!AE78)</f>
        <v>1402.1023268349654</v>
      </c>
      <c r="AQ15" s="113">
        <f>'Future Type Share'!S17*0.5*('Future EndUse Share'!T78)</f>
        <v>0</v>
      </c>
      <c r="AR15" s="113">
        <f>'Future Type Share'!Q17*'Future EndUse Share'!T78</f>
        <v>19.576002640699787</v>
      </c>
      <c r="AS15" s="113">
        <f t="shared" si="4"/>
        <v>0</v>
      </c>
      <c r="AT15" s="58">
        <v>0</v>
      </c>
      <c r="AU15" s="58">
        <v>0</v>
      </c>
    </row>
    <row r="16" spans="1:47">
      <c r="A16">
        <v>2017</v>
      </c>
      <c r="B16" s="56">
        <f>'Future Type Share'!U18*'Future EndUse Share'!AA79</f>
        <v>624.24776870243204</v>
      </c>
      <c r="C16" s="56">
        <f>'Future Type Share'!Q18*0.5*'Future EndUse Share'!P79</f>
        <v>0.41367418757366498</v>
      </c>
      <c r="D16" s="56">
        <f>'Future Type Share'!Q18*'Future EndUse Share'!P79</f>
        <v>0.82734837514732995</v>
      </c>
      <c r="E16" s="56">
        <f t="shared" ref="E16:E49" si="5">C16</f>
        <v>0.41367418757366498</v>
      </c>
      <c r="F16">
        <f>F15</f>
        <v>0</v>
      </c>
      <c r="G16">
        <f>G15</f>
        <v>0</v>
      </c>
      <c r="K16">
        <v>2017</v>
      </c>
      <c r="L16" s="56">
        <f>'Future Type Share'!U18*'Future EndUse Share'!Y79</f>
        <v>4184.6503933543736</v>
      </c>
      <c r="M16" s="56">
        <f>'Future Type Share'!S18*0.5*'Future EndUse Share'!N79</f>
        <v>0</v>
      </c>
      <c r="N16" s="56">
        <f>'Future Type Share'!Q18*'Future EndUse Share'!N79</f>
        <v>6.6187870011786396</v>
      </c>
      <c r="O16" s="56">
        <f>O15</f>
        <v>0</v>
      </c>
      <c r="P16" s="56">
        <f>P15</f>
        <v>0</v>
      </c>
      <c r="Q16" s="56">
        <f>Q15</f>
        <v>0</v>
      </c>
      <c r="U16">
        <v>2017</v>
      </c>
      <c r="V16" s="56">
        <f t="shared" ref="V16:Z31" si="6">V15</f>
        <v>0</v>
      </c>
      <c r="W16" s="56">
        <f>W15</f>
        <v>0</v>
      </c>
      <c r="X16" s="56">
        <f>X15</f>
        <v>0</v>
      </c>
      <c r="Y16" s="56">
        <f>Y15</f>
        <v>0</v>
      </c>
      <c r="Z16" s="56">
        <f>Z15</f>
        <v>0</v>
      </c>
      <c r="AA16" s="56">
        <f t="shared" ref="AA16:AA49" si="7">AA15</f>
        <v>0</v>
      </c>
      <c r="AE16">
        <v>2017</v>
      </c>
      <c r="AF16" s="56">
        <f>'Future Type Share'!U18*('Future EndUse Share'!Z79+'Future EndUse Share'!AB79+'Future EndUse Share'!AC79+'Future EndUse Share'!AD79)</f>
        <v>5526.235510302583</v>
      </c>
      <c r="AG16" s="56">
        <f>'Future Type Share'!S18*0.5*('Future EndUse Share'!O79+'Future EndUse Share'!Q79+'Future EndUse Share'!R79+'Future EndUse Share'!S79)</f>
        <v>0</v>
      </c>
      <c r="AH16" s="56">
        <f>'Future Type Share'!Q18*('Future EndUse Share'!O79+'Future EndUse Share'!Q79+'Future EndUse Share'!R79+'Future EndUse Share'!S79)</f>
        <v>4902.0391227479295</v>
      </c>
      <c r="AI16">
        <f t="shared" si="3"/>
        <v>0</v>
      </c>
      <c r="AJ16">
        <f>AJ15</f>
        <v>0</v>
      </c>
      <c r="AK16">
        <f>AK15</f>
        <v>0</v>
      </c>
      <c r="AO16">
        <v>2017</v>
      </c>
      <c r="AP16" s="56">
        <f>'Future Type Share'!U18*('Future EndUse Share'!AE79)</f>
        <v>601.24916669760569</v>
      </c>
      <c r="AQ16" s="56">
        <f>'Future Type Share'!S18*0.5*('Future EndUse Share'!T79)</f>
        <v>0</v>
      </c>
      <c r="AR16" s="56">
        <f>'Future Type Share'!Q18*'Future EndUse Share'!T79</f>
        <v>0.82734837514732995</v>
      </c>
      <c r="AS16">
        <f t="shared" si="4"/>
        <v>0</v>
      </c>
      <c r="AT16">
        <f>AT15</f>
        <v>0</v>
      </c>
      <c r="AU16">
        <f>AU15</f>
        <v>0</v>
      </c>
    </row>
    <row r="17" spans="1:47">
      <c r="A17">
        <v>2018</v>
      </c>
      <c r="B17" s="56">
        <f>'Future Type Share'!U19*'Future EndUse Share'!AA80</f>
        <v>637.70426778526962</v>
      </c>
      <c r="C17" s="56">
        <f>'Future Type Share'!Q19*0.5*'Future EndUse Share'!P80</f>
        <v>0.78873978570071046</v>
      </c>
      <c r="D17" s="56">
        <f>'Future Type Share'!Q19*'Future EndUse Share'!P80</f>
        <v>1.5774795714014209</v>
      </c>
      <c r="E17" s="56">
        <f t="shared" si="5"/>
        <v>0.78873978570071046</v>
      </c>
      <c r="F17">
        <f t="shared" ref="F17:G32" si="8">F16</f>
        <v>0</v>
      </c>
      <c r="G17">
        <f t="shared" si="8"/>
        <v>0</v>
      </c>
      <c r="K17">
        <v>2018</v>
      </c>
      <c r="L17" s="56">
        <f>'Future Type Share'!U19*'Future EndUse Share'!Y80</f>
        <v>4229.2816492026586</v>
      </c>
      <c r="M17" s="56">
        <f>'Future Type Share'!S19*0.5*'Future EndUse Share'!N80</f>
        <v>0</v>
      </c>
      <c r="N17" s="56">
        <f>'Future Type Share'!Q19*'Future EndUse Share'!N80</f>
        <v>12.619836571211367</v>
      </c>
      <c r="O17" s="56">
        <f t="shared" ref="O17:Q32" si="9">O16</f>
        <v>0</v>
      </c>
      <c r="P17" s="56">
        <f t="shared" si="9"/>
        <v>0</v>
      </c>
      <c r="Q17" s="56">
        <f t="shared" si="9"/>
        <v>0</v>
      </c>
      <c r="U17">
        <v>2018</v>
      </c>
      <c r="V17" s="56">
        <f t="shared" si="6"/>
        <v>0</v>
      </c>
      <c r="W17" s="56">
        <f t="shared" si="6"/>
        <v>0</v>
      </c>
      <c r="X17" s="56">
        <f t="shared" si="6"/>
        <v>0</v>
      </c>
      <c r="Y17" s="56">
        <f t="shared" si="6"/>
        <v>0</v>
      </c>
      <c r="Z17" s="56">
        <f t="shared" si="6"/>
        <v>0</v>
      </c>
      <c r="AA17" s="56">
        <f t="shared" si="7"/>
        <v>0</v>
      </c>
      <c r="AE17">
        <v>2018</v>
      </c>
      <c r="AF17" s="56">
        <f>'Future Type Share'!U19*('Future EndUse Share'!Z80+'Future EndUse Share'!AB80+'Future EndUse Share'!AC80+'Future EndUse Share'!AD80)</f>
        <v>5636.0482821867135</v>
      </c>
      <c r="AG17" s="56">
        <f>'Future Type Share'!S19*0.5*('Future EndUse Share'!O80+'Future EndUse Share'!Q80+'Future EndUse Share'!R80+'Future EndUse Share'!S80)</f>
        <v>0</v>
      </c>
      <c r="AH17" s="56">
        <f>'Future Type Share'!Q19*('Future EndUse Share'!O80+'Future EndUse Share'!Q80+'Future EndUse Share'!R80+'Future EndUse Share'!S80)</f>
        <v>4900.4402885585141</v>
      </c>
      <c r="AI17">
        <f t="shared" si="3"/>
        <v>0</v>
      </c>
      <c r="AJ17">
        <f t="shared" ref="AJ17:AK32" si="10">AJ16</f>
        <v>0</v>
      </c>
      <c r="AK17">
        <f t="shared" si="10"/>
        <v>0</v>
      </c>
      <c r="AO17">
        <v>2018</v>
      </c>
      <c r="AP17" s="56">
        <f>'Future Type Share'!U19*('Future EndUse Share'!AE80)</f>
        <v>614.12717337771551</v>
      </c>
      <c r="AQ17" s="56">
        <f>'Future Type Share'!S19*0.5*('Future EndUse Share'!T80)</f>
        <v>0</v>
      </c>
      <c r="AR17" s="56">
        <f>'Future Type Share'!Q19*'Future EndUse Share'!T80</f>
        <v>1.5774795714014209</v>
      </c>
      <c r="AS17">
        <f t="shared" si="4"/>
        <v>0</v>
      </c>
      <c r="AT17">
        <f t="shared" ref="AT17:AU32" si="11">AT16</f>
        <v>0</v>
      </c>
      <c r="AU17">
        <f t="shared" si="11"/>
        <v>0</v>
      </c>
    </row>
    <row r="18" spans="1:47">
      <c r="A18">
        <v>2019</v>
      </c>
      <c r="B18" s="56">
        <f>'Future Type Share'!U20*'Future EndUse Share'!AA81</f>
        <v>640.1413916844657</v>
      </c>
      <c r="C18" s="56">
        <f>'Future Type Share'!Q20*0.5*'Future EndUse Share'!P81</f>
        <v>1.2301761110938301</v>
      </c>
      <c r="D18" s="56">
        <f>'Future Type Share'!Q20*'Future EndUse Share'!P81</f>
        <v>2.4603522221876601</v>
      </c>
      <c r="E18" s="56">
        <f t="shared" si="5"/>
        <v>1.2301761110938301</v>
      </c>
      <c r="F18">
        <f t="shared" si="8"/>
        <v>0</v>
      </c>
      <c r="G18">
        <f t="shared" si="8"/>
        <v>0</v>
      </c>
      <c r="K18">
        <v>2019</v>
      </c>
      <c r="L18" s="56">
        <f>'Future Type Share'!U20*'Future EndUse Share'!Y81</f>
        <v>4186.1300939092025</v>
      </c>
      <c r="M18" s="56">
        <f>'Future Type Share'!S20*0.5*'Future EndUse Share'!N81</f>
        <v>0</v>
      </c>
      <c r="N18" s="56">
        <f>'Future Type Share'!Q20*'Future EndUse Share'!N81</f>
        <v>16.402348147917731</v>
      </c>
      <c r="O18" s="56">
        <f t="shared" si="9"/>
        <v>0</v>
      </c>
      <c r="P18" s="56">
        <f t="shared" si="9"/>
        <v>0</v>
      </c>
      <c r="Q18" s="56">
        <f t="shared" si="9"/>
        <v>0</v>
      </c>
      <c r="U18">
        <v>2019</v>
      </c>
      <c r="V18" s="56">
        <f t="shared" si="6"/>
        <v>0</v>
      </c>
      <c r="W18" s="56">
        <f t="shared" si="6"/>
        <v>0</v>
      </c>
      <c r="X18" s="56">
        <f t="shared" si="6"/>
        <v>0</v>
      </c>
      <c r="Y18" s="56">
        <f t="shared" si="6"/>
        <v>0</v>
      </c>
      <c r="Z18" s="56">
        <f t="shared" si="6"/>
        <v>0</v>
      </c>
      <c r="AA18" s="56">
        <f t="shared" si="7"/>
        <v>0</v>
      </c>
      <c r="AE18">
        <v>2019</v>
      </c>
      <c r="AF18" s="56">
        <f>'Future Type Share'!U20*('Future EndUse Share'!Z81+'Future EndUse Share'!AB81+'Future EndUse Share'!AC81+'Future EndUse Share'!AD81)</f>
        <v>5627.5443577192582</v>
      </c>
      <c r="AG18" s="56">
        <f>'Future Type Share'!S20*0.5*('Future EndUse Share'!O81+'Future EndUse Share'!Q81+'Future EndUse Share'!R81+'Future EndUse Share'!S81)</f>
        <v>0</v>
      </c>
      <c r="AH18" s="56">
        <f>'Future Type Share'!Q20*('Future EndUse Share'!O81+'Future EndUse Share'!Q81+'Future EndUse Share'!R81+'Future EndUse Share'!S81)</f>
        <v>4795.22648104375</v>
      </c>
      <c r="AI18">
        <f t="shared" si="3"/>
        <v>0</v>
      </c>
      <c r="AJ18">
        <f t="shared" si="10"/>
        <v>0</v>
      </c>
      <c r="AK18">
        <f t="shared" si="10"/>
        <v>0</v>
      </c>
      <c r="AO18">
        <v>2019</v>
      </c>
      <c r="AP18" s="56">
        <f>'Future Type Share'!U20*('Future EndUse Share'!AE81)</f>
        <v>617.12260876430503</v>
      </c>
      <c r="AQ18" s="56">
        <f>'Future Type Share'!S20*0.5*('Future EndUse Share'!T81)</f>
        <v>0</v>
      </c>
      <c r="AR18" s="56">
        <f>'Future Type Share'!Q20*'Future EndUse Share'!T81</f>
        <v>1.6402348147917734</v>
      </c>
      <c r="AS18">
        <f t="shared" si="4"/>
        <v>0</v>
      </c>
      <c r="AT18">
        <f t="shared" si="11"/>
        <v>0</v>
      </c>
      <c r="AU18">
        <f t="shared" si="11"/>
        <v>0</v>
      </c>
    </row>
    <row r="19" spans="1:47">
      <c r="A19">
        <v>2020</v>
      </c>
      <c r="B19" s="56">
        <f>'Future Type Share'!U21*'Future EndUse Share'!AA82</f>
        <v>679.3170047434179</v>
      </c>
      <c r="C19" s="56">
        <f>'Future Type Share'!Q21*0.5*'Future EndUse Share'!P82</f>
        <v>0</v>
      </c>
      <c r="D19" s="56">
        <f>'Future Type Share'!Q21*'Future EndUse Share'!P82</f>
        <v>0</v>
      </c>
      <c r="E19" s="56">
        <f t="shared" si="5"/>
        <v>0</v>
      </c>
      <c r="F19">
        <f t="shared" si="8"/>
        <v>0</v>
      </c>
      <c r="G19">
        <f t="shared" si="8"/>
        <v>0</v>
      </c>
      <c r="K19">
        <v>2020</v>
      </c>
      <c r="L19" s="56">
        <f>'Future Type Share'!U21*'Future EndUse Share'!Y82</f>
        <v>4712.2800329040983</v>
      </c>
      <c r="M19" s="56">
        <f>'Future Type Share'!S21*0.5*'Future EndUse Share'!N82</f>
        <v>0</v>
      </c>
      <c r="N19" s="56">
        <f>'Future Type Share'!Q21*'Future EndUse Share'!N82</f>
        <v>0</v>
      </c>
      <c r="O19" s="56">
        <f t="shared" si="9"/>
        <v>0</v>
      </c>
      <c r="P19" s="56">
        <f t="shared" si="9"/>
        <v>0</v>
      </c>
      <c r="Q19" s="56">
        <f t="shared" si="9"/>
        <v>0</v>
      </c>
      <c r="U19">
        <v>2020</v>
      </c>
      <c r="V19" s="56">
        <f t="shared" si="6"/>
        <v>0</v>
      </c>
      <c r="W19" s="56">
        <f t="shared" si="6"/>
        <v>0</v>
      </c>
      <c r="X19" s="56">
        <f t="shared" si="6"/>
        <v>0</v>
      </c>
      <c r="Y19" s="56">
        <f t="shared" si="6"/>
        <v>0</v>
      </c>
      <c r="Z19" s="56">
        <f t="shared" si="6"/>
        <v>0</v>
      </c>
      <c r="AA19" s="56">
        <f t="shared" si="7"/>
        <v>0</v>
      </c>
      <c r="AE19">
        <v>2020</v>
      </c>
      <c r="AF19" s="56">
        <f>'Future Type Share'!U21*('Future EndUse Share'!Z82+'Future EndUse Share'!AB82+'Future EndUse Share'!AC82+'Future EndUse Share'!AD82)</f>
        <v>5982.8340417759046</v>
      </c>
      <c r="AG19" s="56">
        <f>'Future Type Share'!S21*0.5*('Future EndUse Share'!O82+'Future EndUse Share'!Q82+'Future EndUse Share'!R82+'Future EndUse Share'!S82)</f>
        <v>0</v>
      </c>
      <c r="AH19" s="56">
        <f>'Future Type Share'!Q21*('Future EndUse Share'!O82+'Future EndUse Share'!Q82+'Future EndUse Share'!R82+'Future EndUse Share'!S82)</f>
        <v>5134.5153954415337</v>
      </c>
      <c r="AI19">
        <f t="shared" si="3"/>
        <v>0</v>
      </c>
      <c r="AJ19">
        <f t="shared" si="10"/>
        <v>0</v>
      </c>
      <c r="AK19">
        <f t="shared" si="10"/>
        <v>0</v>
      </c>
      <c r="AO19">
        <v>2020</v>
      </c>
      <c r="AP19" s="56">
        <f>'Future Type Share'!U21*('Future EndUse Share'!AE82)</f>
        <v>655.09500457428464</v>
      </c>
      <c r="AQ19" s="56">
        <f>'Future Type Share'!S21*0.5*('Future EndUse Share'!T82)</f>
        <v>0</v>
      </c>
      <c r="AR19" s="56">
        <f>'Future Type Share'!Q21*'Future EndUse Share'!T82</f>
        <v>0</v>
      </c>
      <c r="AS19">
        <f t="shared" si="4"/>
        <v>0</v>
      </c>
      <c r="AT19">
        <f t="shared" si="11"/>
        <v>0</v>
      </c>
      <c r="AU19">
        <f t="shared" si="11"/>
        <v>0</v>
      </c>
    </row>
    <row r="20" spans="1:47">
      <c r="A20">
        <v>2021</v>
      </c>
      <c r="B20" s="56">
        <f>'Future Type Share'!U22*'Future EndUse Share'!AA83</f>
        <v>690.77291194006295</v>
      </c>
      <c r="C20" s="56">
        <f>'Future Type Share'!Q22*0.5*'Future EndUse Share'!P83</f>
        <v>0</v>
      </c>
      <c r="D20" s="56">
        <f>'Future Type Share'!Q22*'Future EndUse Share'!P83</f>
        <v>0</v>
      </c>
      <c r="E20" s="56">
        <f t="shared" si="5"/>
        <v>0</v>
      </c>
      <c r="F20">
        <f t="shared" si="8"/>
        <v>0</v>
      </c>
      <c r="G20">
        <f t="shared" si="8"/>
        <v>0</v>
      </c>
      <c r="K20">
        <v>2021</v>
      </c>
      <c r="L20" s="56">
        <f>'Future Type Share'!U22*'Future EndUse Share'!Y83</f>
        <v>4874.8831214055872</v>
      </c>
      <c r="M20" s="56">
        <f>'Future Type Share'!S22*0.5*'Future EndUse Share'!N83</f>
        <v>0</v>
      </c>
      <c r="N20" s="56">
        <f>'Future Type Share'!Q22*'Future EndUse Share'!N83</f>
        <v>16.269156208550097</v>
      </c>
      <c r="O20" s="56">
        <f t="shared" si="9"/>
        <v>0</v>
      </c>
      <c r="P20" s="56">
        <f t="shared" si="9"/>
        <v>0</v>
      </c>
      <c r="Q20" s="56">
        <f t="shared" si="9"/>
        <v>0</v>
      </c>
      <c r="U20">
        <v>2021</v>
      </c>
      <c r="V20" s="56">
        <f t="shared" si="6"/>
        <v>0</v>
      </c>
      <c r="W20" s="56">
        <f t="shared" si="6"/>
        <v>0</v>
      </c>
      <c r="X20" s="56">
        <f t="shared" si="6"/>
        <v>0</v>
      </c>
      <c r="Y20" s="56">
        <f t="shared" si="6"/>
        <v>0</v>
      </c>
      <c r="Z20" s="56">
        <f t="shared" si="6"/>
        <v>0</v>
      </c>
      <c r="AA20" s="56">
        <f t="shared" si="7"/>
        <v>0</v>
      </c>
      <c r="AE20">
        <v>2021</v>
      </c>
      <c r="AF20" s="56">
        <f>'Future Type Share'!U22*('Future EndUse Share'!Z83+'Future EndUse Share'!AB83+'Future EndUse Share'!AC83+'Future EndUse Share'!AD83)</f>
        <v>6065.644045797505</v>
      </c>
      <c r="AG20" s="56">
        <f>'Future Type Share'!S22*0.5*('Future EndUse Share'!O83+'Future EndUse Share'!Q83+'Future EndUse Share'!R83+'Future EndUse Share'!S83)</f>
        <v>0</v>
      </c>
      <c r="AH20" s="56">
        <f>'Future Type Share'!Q22*('Future EndUse Share'!O83+'Future EndUse Share'!Q83+'Future EndUse Share'!R83+'Future EndUse Share'!S83)</f>
        <v>5054.8268339965161</v>
      </c>
      <c r="AI20">
        <f t="shared" si="3"/>
        <v>0</v>
      </c>
      <c r="AJ20">
        <f t="shared" si="10"/>
        <v>0</v>
      </c>
      <c r="AK20">
        <f t="shared" si="10"/>
        <v>0</v>
      </c>
      <c r="AO20">
        <v>2021</v>
      </c>
      <c r="AP20" s="56">
        <f>'Future Type Share'!U22*('Future EndUse Share'!AE83)</f>
        <v>665.55421832955278</v>
      </c>
      <c r="AQ20" s="56">
        <f>'Future Type Share'!S22*0.5*('Future EndUse Share'!T83)</f>
        <v>0</v>
      </c>
      <c r="AR20" s="56">
        <f>'Future Type Share'!Q22*'Future EndUse Share'!T83</f>
        <v>0</v>
      </c>
      <c r="AS20">
        <f t="shared" si="4"/>
        <v>0</v>
      </c>
      <c r="AT20">
        <f t="shared" si="11"/>
        <v>0</v>
      </c>
      <c r="AU20">
        <f t="shared" si="11"/>
        <v>0</v>
      </c>
    </row>
    <row r="21" spans="1:47">
      <c r="A21">
        <v>2022</v>
      </c>
      <c r="B21" s="56">
        <f>'Future Type Share'!U23*'Future EndUse Share'!AA84</f>
        <v>687.39054983637277</v>
      </c>
      <c r="C21" s="56">
        <f>'Future Type Share'!Q23*0.5*'Future EndUse Share'!P84</f>
        <v>0</v>
      </c>
      <c r="D21" s="56">
        <f>'Future Type Share'!Q23*'Future EndUse Share'!P84</f>
        <v>0</v>
      </c>
      <c r="E21" s="56">
        <f t="shared" si="5"/>
        <v>0</v>
      </c>
      <c r="F21">
        <f t="shared" si="8"/>
        <v>0</v>
      </c>
      <c r="G21">
        <f t="shared" si="8"/>
        <v>0</v>
      </c>
      <c r="K21">
        <v>2022</v>
      </c>
      <c r="L21" s="56">
        <f>'Future Type Share'!U23*'Future EndUse Share'!Y84</f>
        <v>3511.8611599728151</v>
      </c>
      <c r="M21" s="56">
        <f>'Future Type Share'!S23*0.5*'Future EndUse Share'!N84</f>
        <v>0</v>
      </c>
      <c r="N21" s="56">
        <f>'Future Type Share'!Q23*'Future EndUse Share'!N84</f>
        <v>0</v>
      </c>
      <c r="O21" s="56">
        <f t="shared" si="9"/>
        <v>0</v>
      </c>
      <c r="P21" s="56">
        <f t="shared" si="9"/>
        <v>0</v>
      </c>
      <c r="Q21" s="56">
        <f t="shared" si="9"/>
        <v>0</v>
      </c>
      <c r="U21">
        <v>2022</v>
      </c>
      <c r="V21" s="56">
        <f t="shared" si="6"/>
        <v>0</v>
      </c>
      <c r="W21" s="56">
        <f t="shared" si="6"/>
        <v>0</v>
      </c>
      <c r="X21" s="56">
        <f t="shared" si="6"/>
        <v>0</v>
      </c>
      <c r="Y21" s="56">
        <f t="shared" si="6"/>
        <v>0</v>
      </c>
      <c r="Z21" s="56">
        <f t="shared" si="6"/>
        <v>0</v>
      </c>
      <c r="AA21" s="56">
        <f t="shared" si="7"/>
        <v>0</v>
      </c>
      <c r="AE21">
        <v>2022</v>
      </c>
      <c r="AF21" s="56">
        <f>'Future Type Share'!U23*('Future EndUse Share'!Z84+'Future EndUse Share'!AB84+'Future EndUse Share'!AC84+'Future EndUse Share'!AD84)</f>
        <v>7871.9653491929212</v>
      </c>
      <c r="AG21" s="56">
        <f>'Future Type Share'!S23*0.5*('Future EndUse Share'!O84+'Future EndUse Share'!Q84+'Future EndUse Share'!R84+'Future EndUse Share'!S84)</f>
        <v>0</v>
      </c>
      <c r="AH21" s="56">
        <f>'Future Type Share'!Q23*('Future EndUse Share'!O84+'Future EndUse Share'!Q84+'Future EndUse Share'!R84+'Future EndUse Share'!S84)</f>
        <v>5074.5974556500596</v>
      </c>
      <c r="AI21">
        <f t="shared" si="3"/>
        <v>0</v>
      </c>
      <c r="AJ21">
        <f t="shared" si="10"/>
        <v>0</v>
      </c>
      <c r="AK21">
        <f t="shared" si="10"/>
        <v>0</v>
      </c>
      <c r="AO21">
        <v>2022</v>
      </c>
      <c r="AP21" s="56">
        <f>'Future Type Share'!U23*('Future EndUse Share'!AE84)</f>
        <v>1498.0323219100494</v>
      </c>
      <c r="AQ21" s="56">
        <f>'Future Type Share'!S23*0.5*('Future EndUse Share'!T84)</f>
        <v>0</v>
      </c>
      <c r="AR21" s="56">
        <f>'Future Type Share'!Q23*'Future EndUse Share'!T84</f>
        <v>23.204587904208772</v>
      </c>
      <c r="AS21">
        <f t="shared" si="4"/>
        <v>0</v>
      </c>
      <c r="AT21">
        <f t="shared" si="11"/>
        <v>0</v>
      </c>
      <c r="AU21">
        <f t="shared" si="11"/>
        <v>0</v>
      </c>
    </row>
    <row r="22" spans="1:47">
      <c r="A22">
        <v>2023</v>
      </c>
      <c r="B22" s="56">
        <f>'Future Type Share'!U24*'Future EndUse Share'!AA85</f>
        <v>707.94556546931562</v>
      </c>
      <c r="C22" s="56">
        <f>'Future Type Share'!Q24*0.5*'Future EndUse Share'!P85</f>
        <v>0</v>
      </c>
      <c r="D22" s="56">
        <f>'Future Type Share'!Q24*'Future EndUse Share'!P85</f>
        <v>0</v>
      </c>
      <c r="E22" s="56">
        <f t="shared" si="5"/>
        <v>0</v>
      </c>
      <c r="F22">
        <f t="shared" si="8"/>
        <v>0</v>
      </c>
      <c r="G22">
        <f t="shared" si="8"/>
        <v>0</v>
      </c>
      <c r="K22">
        <v>2023</v>
      </c>
      <c r="L22" s="56">
        <f>'Future Type Share'!U24*'Future EndUse Share'!Y85</f>
        <v>3532.30432506538</v>
      </c>
      <c r="M22" s="56">
        <f>'Future Type Share'!S24*0.5*'Future EndUse Share'!N85</f>
        <v>0</v>
      </c>
      <c r="N22" s="56">
        <f>'Future Type Share'!Q24*'Future EndUse Share'!N85</f>
        <v>0</v>
      </c>
      <c r="O22" s="56">
        <f t="shared" si="9"/>
        <v>0</v>
      </c>
      <c r="P22" s="56">
        <f t="shared" si="9"/>
        <v>0</v>
      </c>
      <c r="Q22" s="56">
        <f t="shared" si="9"/>
        <v>0</v>
      </c>
      <c r="U22">
        <v>2023</v>
      </c>
      <c r="V22" s="56">
        <f t="shared" si="6"/>
        <v>0</v>
      </c>
      <c r="W22" s="56">
        <f t="shared" si="6"/>
        <v>0</v>
      </c>
      <c r="X22" s="56">
        <f t="shared" si="6"/>
        <v>0</v>
      </c>
      <c r="Y22" s="56">
        <f t="shared" si="6"/>
        <v>0</v>
      </c>
      <c r="Z22" s="56">
        <f t="shared" si="6"/>
        <v>0</v>
      </c>
      <c r="AA22" s="56">
        <f t="shared" si="7"/>
        <v>0</v>
      </c>
      <c r="AE22">
        <v>2023</v>
      </c>
      <c r="AF22" s="56">
        <f>'Future Type Share'!U24*('Future EndUse Share'!Z85+'Future EndUse Share'!AB85+'Future EndUse Share'!AC85+'Future EndUse Share'!AD85)</f>
        <v>8270.4573398658649</v>
      </c>
      <c r="AG22" s="56">
        <f>'Future Type Share'!S24*0.5*('Future EndUse Share'!O85+'Future EndUse Share'!Q85+'Future EndUse Share'!R85+'Future EndUse Share'!S85)</f>
        <v>0</v>
      </c>
      <c r="AH22" s="56">
        <f>'Future Type Share'!Q24*('Future EndUse Share'!O85+'Future EndUse Share'!Q85+'Future EndUse Share'!R85+'Future EndUse Share'!S85)</f>
        <v>5145.753429101771</v>
      </c>
      <c r="AI22">
        <f t="shared" si="3"/>
        <v>0</v>
      </c>
      <c r="AJ22">
        <f t="shared" si="10"/>
        <v>0</v>
      </c>
      <c r="AK22">
        <f t="shared" si="10"/>
        <v>0</v>
      </c>
      <c r="AO22">
        <v>2023</v>
      </c>
      <c r="AP22" s="56">
        <f>'Future Type Share'!U24*('Future EndUse Share'!AE85)</f>
        <v>1544.6994481428762</v>
      </c>
      <c r="AQ22" s="56">
        <f>'Future Type Share'!S24*0.5*('Future EndUse Share'!T85)</f>
        <v>0</v>
      </c>
      <c r="AR22" s="56">
        <f>'Future Type Share'!Q24*'Future EndUse Share'!T85</f>
        <v>24.091504388811515</v>
      </c>
      <c r="AS22">
        <f t="shared" si="4"/>
        <v>0</v>
      </c>
      <c r="AT22">
        <f t="shared" si="11"/>
        <v>0</v>
      </c>
      <c r="AU22">
        <f t="shared" si="11"/>
        <v>0</v>
      </c>
    </row>
    <row r="23" spans="1:47">
      <c r="A23">
        <v>2024</v>
      </c>
      <c r="B23" s="56">
        <f>'Future Type Share'!U25*'Future EndUse Share'!AA86</f>
        <v>728.45744782080294</v>
      </c>
      <c r="C23" s="56">
        <f>'Future Type Share'!Q25*0.5*'Future EndUse Share'!P86</f>
        <v>0</v>
      </c>
      <c r="D23" s="56">
        <f>'Future Type Share'!Q25*'Future EndUse Share'!P86</f>
        <v>0</v>
      </c>
      <c r="E23" s="56">
        <f t="shared" si="5"/>
        <v>0</v>
      </c>
      <c r="F23">
        <f t="shared" si="8"/>
        <v>0</v>
      </c>
      <c r="G23">
        <f t="shared" si="8"/>
        <v>0</v>
      </c>
      <c r="K23">
        <v>2024</v>
      </c>
      <c r="L23" s="56">
        <f>'Future Type Share'!U25*'Future EndUse Share'!Y86</f>
        <v>3547.6263826798154</v>
      </c>
      <c r="M23" s="56">
        <f>'Future Type Share'!S25*0.5*'Future EndUse Share'!N86</f>
        <v>0</v>
      </c>
      <c r="N23" s="56">
        <f>'Future Type Share'!Q25*'Future EndUse Share'!N86</f>
        <v>0</v>
      </c>
      <c r="O23" s="56">
        <f t="shared" si="9"/>
        <v>0</v>
      </c>
      <c r="P23" s="56">
        <f t="shared" si="9"/>
        <v>0</v>
      </c>
      <c r="Q23" s="56">
        <f t="shared" si="9"/>
        <v>0</v>
      </c>
      <c r="U23">
        <v>2024</v>
      </c>
      <c r="V23" s="56">
        <f t="shared" si="6"/>
        <v>0</v>
      </c>
      <c r="W23" s="56">
        <f t="shared" si="6"/>
        <v>0</v>
      </c>
      <c r="X23" s="56">
        <f t="shared" si="6"/>
        <v>0</v>
      </c>
      <c r="Y23" s="56">
        <f t="shared" si="6"/>
        <v>0</v>
      </c>
      <c r="Z23" s="56">
        <f t="shared" si="6"/>
        <v>0</v>
      </c>
      <c r="AA23" s="56">
        <f t="shared" si="7"/>
        <v>0</v>
      </c>
      <c r="AE23">
        <v>2024</v>
      </c>
      <c r="AF23" s="56">
        <f>'Future Type Share'!U25*('Future EndUse Share'!Z86+'Future EndUse Share'!AB86+'Future EndUse Share'!AC86+'Future EndUse Share'!AD86)</f>
        <v>8677.8885580841852</v>
      </c>
      <c r="AG23" s="56">
        <f>'Future Type Share'!S25*0.5*('Future EndUse Share'!O86+'Future EndUse Share'!Q86+'Future EndUse Share'!R86+'Future EndUse Share'!S86)</f>
        <v>0</v>
      </c>
      <c r="AH23" s="56">
        <f>'Future Type Share'!Q25*('Future EndUse Share'!O86+'Future EndUse Share'!Q86+'Future EndUse Share'!R86+'Future EndUse Share'!S86)</f>
        <v>5211.9388920864803</v>
      </c>
      <c r="AI23">
        <f t="shared" si="3"/>
        <v>0</v>
      </c>
      <c r="AJ23">
        <f t="shared" si="10"/>
        <v>0</v>
      </c>
      <c r="AK23">
        <f t="shared" si="10"/>
        <v>0</v>
      </c>
      <c r="AO23">
        <v>2024</v>
      </c>
      <c r="AP23" s="56">
        <f>'Future Type Share'!U25*('Future EndUse Share'!AE86)</f>
        <v>1591.3989132656134</v>
      </c>
      <c r="AQ23" s="56">
        <f>'Future Type Share'!S25*0.5*('Future EndUse Share'!T86)</f>
        <v>0</v>
      </c>
      <c r="AR23" s="56">
        <f>'Future Type Share'!Q25*'Future EndUse Share'!T86</f>
        <v>24.970261101968124</v>
      </c>
      <c r="AS23">
        <f t="shared" si="4"/>
        <v>0</v>
      </c>
      <c r="AT23">
        <f t="shared" si="11"/>
        <v>0</v>
      </c>
      <c r="AU23">
        <f t="shared" si="11"/>
        <v>0</v>
      </c>
    </row>
    <row r="24" spans="1:47">
      <c r="A24">
        <v>2025</v>
      </c>
      <c r="B24" s="56">
        <f>'Future Type Share'!U26*'Future EndUse Share'!AA87</f>
        <v>748.50438244749341</v>
      </c>
      <c r="C24" s="56">
        <f>'Future Type Share'!Q26*0.5*'Future EndUse Share'!P87</f>
        <v>0</v>
      </c>
      <c r="D24" s="56">
        <f>'Future Type Share'!Q26*'Future EndUse Share'!P87</f>
        <v>0</v>
      </c>
      <c r="E24" s="56">
        <f t="shared" si="5"/>
        <v>0</v>
      </c>
      <c r="F24">
        <f t="shared" si="8"/>
        <v>0</v>
      </c>
      <c r="G24">
        <f t="shared" si="8"/>
        <v>0</v>
      </c>
      <c r="K24">
        <v>2025</v>
      </c>
      <c r="L24" s="56">
        <f>'Future Type Share'!U26*'Future EndUse Share'!Y87</f>
        <v>3555.838922737817</v>
      </c>
      <c r="M24" s="56">
        <f>'Future Type Share'!S26*0.5*'Future EndUse Share'!N87</f>
        <v>0</v>
      </c>
      <c r="N24" s="56">
        <f>'Future Type Share'!Q26*'Future EndUse Share'!N87</f>
        <v>0</v>
      </c>
      <c r="O24" s="56">
        <f t="shared" si="9"/>
        <v>0</v>
      </c>
      <c r="P24" s="56">
        <f t="shared" si="9"/>
        <v>0</v>
      </c>
      <c r="Q24" s="56">
        <f t="shared" si="9"/>
        <v>0</v>
      </c>
      <c r="U24">
        <v>2025</v>
      </c>
      <c r="V24" s="56">
        <f t="shared" si="6"/>
        <v>0</v>
      </c>
      <c r="W24" s="56">
        <f t="shared" si="6"/>
        <v>0</v>
      </c>
      <c r="X24" s="56">
        <f t="shared" si="6"/>
        <v>0</v>
      </c>
      <c r="Y24" s="56">
        <f t="shared" si="6"/>
        <v>0</v>
      </c>
      <c r="Z24" s="56">
        <f t="shared" si="6"/>
        <v>0</v>
      </c>
      <c r="AA24" s="56">
        <f t="shared" si="7"/>
        <v>0</v>
      </c>
      <c r="AE24">
        <v>2025</v>
      </c>
      <c r="AF24" s="56">
        <f>'Future Type Share'!U26*('Future EndUse Share'!Z87+'Future EndUse Share'!AB87+'Future EndUse Share'!AC87+'Future EndUse Share'!AD87)</f>
        <v>9089.1055823444676</v>
      </c>
      <c r="AG24" s="56">
        <f>'Future Type Share'!S26*0.5*('Future EndUse Share'!O87+'Future EndUse Share'!Q87+'Future EndUse Share'!R87+'Future EndUse Share'!S87)</f>
        <v>0</v>
      </c>
      <c r="AH24" s="56">
        <f>'Future Type Share'!Q26*('Future EndUse Share'!O87+'Future EndUse Share'!Q87+'Future EndUse Share'!R87+'Future EndUse Share'!S87)</f>
        <v>5270.2000983004282</v>
      </c>
      <c r="AI24">
        <f t="shared" si="3"/>
        <v>0</v>
      </c>
      <c r="AJ24">
        <f t="shared" si="10"/>
        <v>0</v>
      </c>
      <c r="AK24">
        <f t="shared" si="10"/>
        <v>0</v>
      </c>
      <c r="AO24">
        <v>2025</v>
      </c>
      <c r="AP24" s="56">
        <f>'Future Type Share'!U26*('Future EndUse Share'!AE87)</f>
        <v>1637.2092453112011</v>
      </c>
      <c r="AQ24" s="56">
        <f>'Future Type Share'!S26*0.5*('Future EndUse Share'!T87)</f>
        <v>0</v>
      </c>
      <c r="AR24" s="56">
        <f>'Future Type Share'!Q26*'Future EndUse Share'!T87</f>
        <v>25.824761390051123</v>
      </c>
      <c r="AS24">
        <f t="shared" si="4"/>
        <v>0</v>
      </c>
      <c r="AT24">
        <f t="shared" si="11"/>
        <v>0</v>
      </c>
      <c r="AU24">
        <f t="shared" si="11"/>
        <v>0</v>
      </c>
    </row>
    <row r="25" spans="1:47">
      <c r="A25">
        <v>2026</v>
      </c>
      <c r="B25" s="56">
        <f>'Future Type Share'!U27*'Future EndUse Share'!AA88</f>
        <v>769.35924776158083</v>
      </c>
      <c r="C25" s="56">
        <f>'Future Type Share'!Q27*0.5*'Future EndUse Share'!P88</f>
        <v>0</v>
      </c>
      <c r="D25" s="56">
        <f>'Future Type Share'!Q27*'Future EndUse Share'!P88</f>
        <v>0</v>
      </c>
      <c r="E25" s="56">
        <f t="shared" si="5"/>
        <v>0</v>
      </c>
      <c r="F25">
        <f t="shared" si="8"/>
        <v>0</v>
      </c>
      <c r="G25">
        <f t="shared" si="8"/>
        <v>0</v>
      </c>
      <c r="K25">
        <v>2026</v>
      </c>
      <c r="L25" s="56">
        <f>'Future Type Share'!U27*'Future EndUse Share'!Y88</f>
        <v>3563.0034412613259</v>
      </c>
      <c r="M25" s="56">
        <f>'Future Type Share'!S27*0.5*'Future EndUse Share'!N88</f>
        <v>0</v>
      </c>
      <c r="N25" s="56">
        <f>'Future Type Share'!Q27*'Future EndUse Share'!N88</f>
        <v>0</v>
      </c>
      <c r="O25" s="56">
        <f t="shared" si="9"/>
        <v>0</v>
      </c>
      <c r="P25" s="56">
        <f t="shared" si="9"/>
        <v>0</v>
      </c>
      <c r="Q25" s="56">
        <f t="shared" si="9"/>
        <v>0</v>
      </c>
      <c r="U25">
        <v>2026</v>
      </c>
      <c r="V25" s="56">
        <f t="shared" si="6"/>
        <v>0</v>
      </c>
      <c r="W25" s="56">
        <f t="shared" si="6"/>
        <v>0</v>
      </c>
      <c r="X25" s="56">
        <f t="shared" si="6"/>
        <v>0</v>
      </c>
      <c r="Y25" s="56">
        <f t="shared" si="6"/>
        <v>0</v>
      </c>
      <c r="Z25" s="56">
        <f t="shared" si="6"/>
        <v>0</v>
      </c>
      <c r="AA25" s="56">
        <f t="shared" si="7"/>
        <v>0</v>
      </c>
      <c r="AE25">
        <v>2026</v>
      </c>
      <c r="AF25" s="56">
        <f>'Future Type Share'!U27*('Future EndUse Share'!Z88+'Future EndUse Share'!AB88+'Future EndUse Share'!AC88+'Future EndUse Share'!AD88)</f>
        <v>9519.5354033813255</v>
      </c>
      <c r="AG25" s="56">
        <f>'Future Type Share'!S27*0.5*('Future EndUse Share'!O88+'Future EndUse Share'!Q88+'Future EndUse Share'!R88+'Future EndUse Share'!S88)</f>
        <v>0</v>
      </c>
      <c r="AH25" s="56">
        <f>'Future Type Share'!Q27*('Future EndUse Share'!O88+'Future EndUse Share'!Q88+'Future EndUse Share'!R88+'Future EndUse Share'!S88)</f>
        <v>5329.5147380460794</v>
      </c>
      <c r="AI25">
        <f t="shared" si="3"/>
        <v>0</v>
      </c>
      <c r="AJ25">
        <f t="shared" si="10"/>
        <v>0</v>
      </c>
      <c r="AK25">
        <f t="shared" si="10"/>
        <v>0</v>
      </c>
      <c r="AO25">
        <v>2026</v>
      </c>
      <c r="AP25" s="56">
        <f>'Future Type Share'!U27*('Future EndUse Share'!AE88)</f>
        <v>1684.9158005436934</v>
      </c>
      <c r="AQ25" s="56">
        <f>'Future Type Share'!S27*0.5*('Future EndUse Share'!T88)</f>
        <v>0</v>
      </c>
      <c r="AR25" s="56">
        <f>'Future Type Share'!Q27*'Future EndUse Share'!T88</f>
        <v>26.697386417643752</v>
      </c>
      <c r="AS25">
        <f t="shared" si="4"/>
        <v>0</v>
      </c>
      <c r="AT25">
        <f t="shared" si="11"/>
        <v>0</v>
      </c>
      <c r="AU25">
        <f t="shared" si="11"/>
        <v>0</v>
      </c>
    </row>
    <row r="26" spans="1:47">
      <c r="A26">
        <v>2027</v>
      </c>
      <c r="B26" s="56">
        <f>'Future Type Share'!U28*'Future EndUse Share'!AA89</f>
        <v>791.14999347645892</v>
      </c>
      <c r="C26" s="56">
        <f>'Future Type Share'!Q28*0.5*'Future EndUse Share'!P89</f>
        <v>0</v>
      </c>
      <c r="D26" s="56">
        <f>'Future Type Share'!Q28*'Future EndUse Share'!P89</f>
        <v>0</v>
      </c>
      <c r="E26" s="56">
        <f t="shared" si="5"/>
        <v>0</v>
      </c>
      <c r="F26">
        <f t="shared" si="8"/>
        <v>0</v>
      </c>
      <c r="G26">
        <f t="shared" si="8"/>
        <v>0</v>
      </c>
      <c r="K26">
        <v>2027</v>
      </c>
      <c r="L26" s="56">
        <f>'Future Type Share'!U28*'Future EndUse Share'!Y89</f>
        <v>3569.4076564653665</v>
      </c>
      <c r="M26" s="56">
        <f>'Future Type Share'!S28*0.5*'Future EndUse Share'!N89</f>
        <v>0</v>
      </c>
      <c r="N26" s="56">
        <f>'Future Type Share'!Q28*'Future EndUse Share'!N89</f>
        <v>0</v>
      </c>
      <c r="O26" s="56">
        <f t="shared" si="9"/>
        <v>0</v>
      </c>
      <c r="P26" s="56">
        <f t="shared" si="9"/>
        <v>0</v>
      </c>
      <c r="Q26" s="56">
        <f t="shared" si="9"/>
        <v>0</v>
      </c>
      <c r="U26">
        <v>2027</v>
      </c>
      <c r="V26" s="56">
        <f t="shared" si="6"/>
        <v>0</v>
      </c>
      <c r="W26" s="56">
        <f t="shared" si="6"/>
        <v>0</v>
      </c>
      <c r="X26" s="56">
        <f t="shared" si="6"/>
        <v>0</v>
      </c>
      <c r="Y26" s="56">
        <f t="shared" si="6"/>
        <v>0</v>
      </c>
      <c r="Z26" s="56">
        <f t="shared" si="6"/>
        <v>0</v>
      </c>
      <c r="AA26" s="56">
        <f t="shared" si="7"/>
        <v>0</v>
      </c>
      <c r="AE26">
        <v>2027</v>
      </c>
      <c r="AF26" s="56">
        <f>'Future Type Share'!U28*('Future EndUse Share'!Z89+'Future EndUse Share'!AB89+'Future EndUse Share'!AC89+'Future EndUse Share'!AD89)</f>
        <v>9971.3473292166545</v>
      </c>
      <c r="AG26" s="56">
        <f>'Future Type Share'!S28*0.5*('Future EndUse Share'!O89+'Future EndUse Share'!Q89+'Future EndUse Share'!R89+'Future EndUse Share'!S89)</f>
        <v>0</v>
      </c>
      <c r="AH26" s="56">
        <f>'Future Type Share'!Q28*('Future EndUse Share'!O89+'Future EndUse Share'!Q89+'Future EndUse Share'!R89+'Future EndUse Share'!S89)</f>
        <v>5390.4803942040517</v>
      </c>
      <c r="AI26">
        <f t="shared" si="3"/>
        <v>0</v>
      </c>
      <c r="AJ26">
        <f t="shared" si="10"/>
        <v>0</v>
      </c>
      <c r="AK26">
        <f t="shared" si="10"/>
        <v>0</v>
      </c>
      <c r="AO26">
        <v>2027</v>
      </c>
      <c r="AP26" s="56">
        <f>'Future Type Share'!U28*('Future EndUse Share'!AE89)</f>
        <v>1734.8072653537988</v>
      </c>
      <c r="AQ26" s="56">
        <f>'Future Type Share'!S28*0.5*('Future EndUse Share'!T89)</f>
        <v>0</v>
      </c>
      <c r="AR26" s="56">
        <f>'Future Type Share'!Q28*'Future EndUse Share'!T89</f>
        <v>27.591544317361034</v>
      </c>
      <c r="AS26">
        <f t="shared" si="4"/>
        <v>0</v>
      </c>
      <c r="AT26">
        <f t="shared" si="11"/>
        <v>0</v>
      </c>
      <c r="AU26">
        <f t="shared" si="11"/>
        <v>0</v>
      </c>
    </row>
    <row r="27" spans="1:47">
      <c r="A27">
        <v>2028</v>
      </c>
      <c r="B27" s="56">
        <f>'Future Type Share'!U29*'Future EndUse Share'!AA90</f>
        <v>813.81269992104899</v>
      </c>
      <c r="C27" s="56">
        <f>'Future Type Share'!Q29*0.5*'Future EndUse Share'!P90</f>
        <v>0</v>
      </c>
      <c r="D27" s="56">
        <f>'Future Type Share'!Q29*'Future EndUse Share'!P90</f>
        <v>0</v>
      </c>
      <c r="E27" s="56">
        <f t="shared" si="5"/>
        <v>0</v>
      </c>
      <c r="F27">
        <f t="shared" si="8"/>
        <v>0</v>
      </c>
      <c r="G27">
        <f t="shared" si="8"/>
        <v>0</v>
      </c>
      <c r="K27">
        <v>2028</v>
      </c>
      <c r="L27" s="56">
        <f>'Future Type Share'!U29*'Future EndUse Share'!Y90</f>
        <v>3574.4354161280185</v>
      </c>
      <c r="M27" s="56">
        <f>'Future Type Share'!S29*0.5*'Future EndUse Share'!N90</f>
        <v>0</v>
      </c>
      <c r="N27" s="56">
        <f>'Future Type Share'!Q29*'Future EndUse Share'!N90</f>
        <v>0</v>
      </c>
      <c r="O27" s="56">
        <f t="shared" si="9"/>
        <v>0</v>
      </c>
      <c r="P27" s="56">
        <f t="shared" si="9"/>
        <v>0</v>
      </c>
      <c r="Q27" s="56">
        <f t="shared" si="9"/>
        <v>0</v>
      </c>
      <c r="U27">
        <v>2028</v>
      </c>
      <c r="V27" s="56">
        <f t="shared" si="6"/>
        <v>0</v>
      </c>
      <c r="W27" s="56">
        <f t="shared" si="6"/>
        <v>0</v>
      </c>
      <c r="X27" s="56">
        <f t="shared" si="6"/>
        <v>0</v>
      </c>
      <c r="Y27" s="56">
        <f t="shared" si="6"/>
        <v>0</v>
      </c>
      <c r="Z27" s="56">
        <f t="shared" si="6"/>
        <v>0</v>
      </c>
      <c r="AA27" s="56">
        <f t="shared" si="7"/>
        <v>0</v>
      </c>
      <c r="AE27">
        <v>2028</v>
      </c>
      <c r="AF27" s="56">
        <f>'Future Type Share'!U29*('Future EndUse Share'!Z90+'Future EndUse Share'!AB90+'Future EndUse Share'!AC90+'Future EndUse Share'!AD90)</f>
        <v>10444.365967845066</v>
      </c>
      <c r="AG27" s="56">
        <f>'Future Type Share'!S29*0.5*('Future EndUse Share'!O90+'Future EndUse Share'!Q90+'Future EndUse Share'!R90+'Future EndUse Share'!S90)</f>
        <v>0</v>
      </c>
      <c r="AH27" s="56">
        <f>'Future Type Share'!Q29*('Future EndUse Share'!O90+'Future EndUse Share'!Q90+'Future EndUse Share'!R90+'Future EndUse Share'!S90)</f>
        <v>5452.3510913840128</v>
      </c>
      <c r="AI27">
        <f t="shared" si="3"/>
        <v>0</v>
      </c>
      <c r="AJ27">
        <f t="shared" si="10"/>
        <v>0</v>
      </c>
      <c r="AK27">
        <f t="shared" si="10"/>
        <v>0</v>
      </c>
      <c r="AO27">
        <v>2028</v>
      </c>
      <c r="AP27" s="56">
        <f>'Future Type Share'!U29*('Future EndUse Share'!AE90)</f>
        <v>1786.7526054509015</v>
      </c>
      <c r="AQ27" s="56">
        <f>'Future Type Share'!S29*0.5*('Future EndUse Share'!T90)</f>
        <v>0</v>
      </c>
      <c r="AR27" s="56">
        <f>'Future Type Share'!Q29*'Future EndUse Share'!T90</f>
        <v>28.503880634037053</v>
      </c>
      <c r="AS27">
        <f t="shared" si="4"/>
        <v>0</v>
      </c>
      <c r="AT27">
        <f t="shared" si="11"/>
        <v>0</v>
      </c>
      <c r="AU27">
        <f t="shared" si="11"/>
        <v>0</v>
      </c>
    </row>
    <row r="28" spans="1:47">
      <c r="A28">
        <v>2029</v>
      </c>
      <c r="B28" s="56">
        <f>'Future Type Share'!U30*'Future EndUse Share'!AA91</f>
        <v>837.0477763549676</v>
      </c>
      <c r="C28" s="56">
        <f>'Future Type Share'!Q30*0.5*'Future EndUse Share'!P91</f>
        <v>0</v>
      </c>
      <c r="D28" s="56">
        <f>'Future Type Share'!Q30*'Future EndUse Share'!P91</f>
        <v>0</v>
      </c>
      <c r="E28" s="56">
        <f t="shared" si="5"/>
        <v>0</v>
      </c>
      <c r="F28">
        <f t="shared" si="8"/>
        <v>0</v>
      </c>
      <c r="G28">
        <f t="shared" si="8"/>
        <v>0</v>
      </c>
      <c r="K28">
        <v>2029</v>
      </c>
      <c r="L28" s="56">
        <f>'Future Type Share'!U30*'Future EndUse Share'!Y91</f>
        <v>3576.4941485907129</v>
      </c>
      <c r="M28" s="56">
        <f>'Future Type Share'!S30*0.5*'Future EndUse Share'!N91</f>
        <v>0</v>
      </c>
      <c r="N28" s="56">
        <f>'Future Type Share'!Q30*'Future EndUse Share'!N91</f>
        <v>0</v>
      </c>
      <c r="O28" s="56">
        <f t="shared" si="9"/>
        <v>0</v>
      </c>
      <c r="P28" s="56">
        <f t="shared" si="9"/>
        <v>0</v>
      </c>
      <c r="Q28" s="56">
        <f t="shared" si="9"/>
        <v>0</v>
      </c>
      <c r="U28">
        <v>2029</v>
      </c>
      <c r="V28" s="56">
        <f t="shared" si="6"/>
        <v>0</v>
      </c>
      <c r="W28" s="56">
        <f t="shared" si="6"/>
        <v>0</v>
      </c>
      <c r="X28" s="56">
        <f t="shared" si="6"/>
        <v>0</v>
      </c>
      <c r="Y28" s="56">
        <f t="shared" si="6"/>
        <v>0</v>
      </c>
      <c r="Z28" s="56">
        <f t="shared" si="6"/>
        <v>0</v>
      </c>
      <c r="AA28" s="56">
        <f t="shared" si="7"/>
        <v>0</v>
      </c>
      <c r="AE28">
        <v>2029</v>
      </c>
      <c r="AF28" s="56">
        <f>'Future Type Share'!U30*('Future EndUse Share'!Z91+'Future EndUse Share'!AB91+'Future EndUse Share'!AC91+'Future EndUse Share'!AD91)</f>
        <v>10935.278092594164</v>
      </c>
      <c r="AG28" s="56">
        <f>'Future Type Share'!S30*0.5*('Future EndUse Share'!O91+'Future EndUse Share'!Q91+'Future EndUse Share'!R91+'Future EndUse Share'!S91)</f>
        <v>0</v>
      </c>
      <c r="AH28" s="56">
        <f>'Future Type Share'!Q30*('Future EndUse Share'!O91+'Future EndUse Share'!Q91+'Future EndUse Share'!R91+'Future EndUse Share'!S91)</f>
        <v>5512.8579128948677</v>
      </c>
      <c r="AI28">
        <f t="shared" si="3"/>
        <v>0</v>
      </c>
      <c r="AJ28">
        <f t="shared" si="10"/>
        <v>0</v>
      </c>
      <c r="AK28">
        <f t="shared" si="10"/>
        <v>0</v>
      </c>
      <c r="AO28">
        <v>2029</v>
      </c>
      <c r="AP28" s="56">
        <f>'Future Type Share'!U30*('Future EndUse Share'!AE91)</f>
        <v>1840.1021295170915</v>
      </c>
      <c r="AQ28" s="56">
        <f>'Future Type Share'!S30*0.5*('Future EndUse Share'!T91)</f>
        <v>0</v>
      </c>
      <c r="AR28" s="56">
        <f>'Future Type Share'!Q30*'Future EndUse Share'!T91</f>
        <v>29.422587033808501</v>
      </c>
      <c r="AS28">
        <f t="shared" si="4"/>
        <v>0</v>
      </c>
      <c r="AT28">
        <f t="shared" si="11"/>
        <v>0</v>
      </c>
      <c r="AU28">
        <f t="shared" si="11"/>
        <v>0</v>
      </c>
    </row>
    <row r="29" spans="1:47">
      <c r="A29">
        <v>2030</v>
      </c>
      <c r="B29" s="56">
        <f>'Future Type Share'!U31*'Future EndUse Share'!AA92</f>
        <v>860.71495949095038</v>
      </c>
      <c r="C29" s="56">
        <f>'Future Type Share'!Q31*0.5*'Future EndUse Share'!P92</f>
        <v>0</v>
      </c>
      <c r="D29" s="56">
        <f>'Future Type Share'!Q31*'Future EndUse Share'!P92</f>
        <v>0</v>
      </c>
      <c r="E29" s="56">
        <f t="shared" si="5"/>
        <v>0</v>
      </c>
      <c r="F29">
        <f t="shared" si="8"/>
        <v>0</v>
      </c>
      <c r="G29">
        <f t="shared" si="8"/>
        <v>0</v>
      </c>
      <c r="K29">
        <v>2030</v>
      </c>
      <c r="L29" s="56">
        <f>'Future Type Share'!U31*'Future EndUse Share'!Y92</f>
        <v>3574.7961724771249</v>
      </c>
      <c r="M29" s="56">
        <f>'Future Type Share'!S31*0.5*'Future EndUse Share'!N92</f>
        <v>0</v>
      </c>
      <c r="N29" s="56">
        <f>'Future Type Share'!Q31*'Future EndUse Share'!N92</f>
        <v>0</v>
      </c>
      <c r="O29" s="56">
        <f t="shared" si="9"/>
        <v>0</v>
      </c>
      <c r="P29" s="56">
        <f t="shared" si="9"/>
        <v>0</v>
      </c>
      <c r="Q29" s="56">
        <f t="shared" si="9"/>
        <v>0</v>
      </c>
      <c r="U29">
        <v>2030</v>
      </c>
      <c r="V29" s="56">
        <f t="shared" si="6"/>
        <v>0</v>
      </c>
      <c r="W29" s="56">
        <f t="shared" si="6"/>
        <v>0</v>
      </c>
      <c r="X29" s="56">
        <f t="shared" si="6"/>
        <v>0</v>
      </c>
      <c r="Y29" s="56">
        <f t="shared" si="6"/>
        <v>0</v>
      </c>
      <c r="Z29" s="56">
        <f t="shared" si="6"/>
        <v>0</v>
      </c>
      <c r="AA29" s="56">
        <f t="shared" si="7"/>
        <v>0</v>
      </c>
      <c r="AE29">
        <v>2030</v>
      </c>
      <c r="AF29" s="56">
        <f>'Future Type Share'!U31*('Future EndUse Share'!Z92+'Future EndUse Share'!AB92+'Future EndUse Share'!AC92+'Future EndUse Share'!AD92)</f>
        <v>11442.612623565188</v>
      </c>
      <c r="AG29" s="56">
        <f>'Future Type Share'!S31*0.5*('Future EndUse Share'!O92+'Future EndUse Share'!Q92+'Future EndUse Share'!R92+'Future EndUse Share'!S92)</f>
        <v>0</v>
      </c>
      <c r="AH29" s="56">
        <f>'Future Type Share'!Q31*('Future EndUse Share'!O92+'Future EndUse Share'!Q92+'Future EndUse Share'!R92+'Future EndUse Share'!S92)</f>
        <v>5570.8995135972664</v>
      </c>
      <c r="AI29">
        <f t="shared" si="3"/>
        <v>0</v>
      </c>
      <c r="AJ29">
        <f t="shared" si="10"/>
        <v>0</v>
      </c>
      <c r="AK29">
        <f t="shared" si="10"/>
        <v>0</v>
      </c>
      <c r="AO29">
        <v>2030</v>
      </c>
      <c r="AP29" s="56">
        <f>'Future Type Share'!U31*('Future EndUse Share'!AE92)</f>
        <v>1894.5536026634743</v>
      </c>
      <c r="AQ29" s="56">
        <f>'Future Type Share'!S31*0.5*('Future EndUse Share'!T92)</f>
        <v>0</v>
      </c>
      <c r="AR29" s="56">
        <f>'Future Type Share'!Q31*'Future EndUse Share'!T92</f>
        <v>30.341222438913501</v>
      </c>
      <c r="AS29">
        <f t="shared" si="4"/>
        <v>0</v>
      </c>
      <c r="AT29">
        <f t="shared" si="11"/>
        <v>0</v>
      </c>
      <c r="AU29">
        <f t="shared" si="11"/>
        <v>0</v>
      </c>
    </row>
    <row r="30" spans="1:47">
      <c r="A30">
        <v>2031</v>
      </c>
      <c r="B30" s="56">
        <f>'Future Type Share'!U32*'Future EndUse Share'!AA93</f>
        <v>884.55885301737976</v>
      </c>
      <c r="C30" s="56">
        <f>'Future Type Share'!Q32*0.5*'Future EndUse Share'!P93</f>
        <v>0</v>
      </c>
      <c r="D30" s="56">
        <f>'Future Type Share'!Q32*'Future EndUse Share'!P93</f>
        <v>0</v>
      </c>
      <c r="E30" s="56">
        <f t="shared" si="5"/>
        <v>0</v>
      </c>
      <c r="F30">
        <f t="shared" si="8"/>
        <v>0</v>
      </c>
      <c r="G30">
        <f t="shared" si="8"/>
        <v>0</v>
      </c>
      <c r="K30">
        <v>2031</v>
      </c>
      <c r="L30" s="56">
        <f>'Future Type Share'!U32*'Future EndUse Share'!Y93</f>
        <v>3568.1564038156666</v>
      </c>
      <c r="M30" s="56">
        <f>'Future Type Share'!S32*0.5*'Future EndUse Share'!N93</f>
        <v>0</v>
      </c>
      <c r="N30" s="56">
        <f>'Future Type Share'!Q32*'Future EndUse Share'!N93</f>
        <v>0</v>
      </c>
      <c r="O30" s="56">
        <f t="shared" si="9"/>
        <v>0</v>
      </c>
      <c r="P30" s="56">
        <f t="shared" si="9"/>
        <v>0</v>
      </c>
      <c r="Q30" s="56">
        <f t="shared" si="9"/>
        <v>0</v>
      </c>
      <c r="U30">
        <v>2031</v>
      </c>
      <c r="V30" s="56">
        <f t="shared" si="6"/>
        <v>0</v>
      </c>
      <c r="W30" s="56">
        <f t="shared" si="6"/>
        <v>0</v>
      </c>
      <c r="X30" s="56">
        <f t="shared" si="6"/>
        <v>0</v>
      </c>
      <c r="Y30" s="56">
        <f t="shared" si="6"/>
        <v>0</v>
      </c>
      <c r="Z30" s="56">
        <f t="shared" si="6"/>
        <v>0</v>
      </c>
      <c r="AA30" s="56">
        <f t="shared" si="7"/>
        <v>0</v>
      </c>
      <c r="AE30">
        <v>2031</v>
      </c>
      <c r="AF30" s="56">
        <f>'Future Type Share'!U32*('Future EndUse Share'!Z93+'Future EndUse Share'!AB93+'Future EndUse Share'!AC93+'Future EndUse Share'!AD93)</f>
        <v>11963.212134960186</v>
      </c>
      <c r="AG30" s="56">
        <f>'Future Type Share'!S32*0.5*('Future EndUse Share'!O93+'Future EndUse Share'!Q93+'Future EndUse Share'!R93+'Future EndUse Share'!S93)</f>
        <v>0</v>
      </c>
      <c r="AH30" s="56">
        <f>'Future Type Share'!Q32*('Future EndUse Share'!O93+'Future EndUse Share'!Q93+'Future EndUse Share'!R93+'Future EndUse Share'!S93)</f>
        <v>5624.7062859672105</v>
      </c>
      <c r="AI30">
        <f t="shared" si="3"/>
        <v>0</v>
      </c>
      <c r="AJ30">
        <f t="shared" si="10"/>
        <v>0</v>
      </c>
      <c r="AK30">
        <f t="shared" si="10"/>
        <v>0</v>
      </c>
      <c r="AO30">
        <v>2031</v>
      </c>
      <c r="AP30" s="56">
        <f>'Future Type Share'!U32*('Future EndUse Share'!AE93)</f>
        <v>1949.5495300983762</v>
      </c>
      <c r="AQ30" s="56">
        <f>'Future Type Share'!S32*0.5*('Future EndUse Share'!T93)</f>
        <v>0</v>
      </c>
      <c r="AR30" s="56">
        <f>'Future Type Share'!Q32*'Future EndUse Share'!T93</f>
        <v>31.249151333531952</v>
      </c>
      <c r="AS30">
        <f t="shared" si="4"/>
        <v>0</v>
      </c>
      <c r="AT30">
        <f t="shared" si="11"/>
        <v>0</v>
      </c>
      <c r="AU30">
        <f t="shared" si="11"/>
        <v>0</v>
      </c>
    </row>
    <row r="31" spans="1:47">
      <c r="A31">
        <v>2032</v>
      </c>
      <c r="B31" s="56">
        <f>'Future Type Share'!U33*'Future EndUse Share'!AA94</f>
        <v>908.76365855792267</v>
      </c>
      <c r="C31" s="56">
        <f>'Future Type Share'!Q33*0.5*'Future EndUse Share'!P94</f>
        <v>0</v>
      </c>
      <c r="D31" s="56">
        <f>'Future Type Share'!Q33*'Future EndUse Share'!P94</f>
        <v>0</v>
      </c>
      <c r="E31" s="56">
        <f t="shared" si="5"/>
        <v>0</v>
      </c>
      <c r="F31">
        <f t="shared" si="8"/>
        <v>0</v>
      </c>
      <c r="G31">
        <f t="shared" si="8"/>
        <v>0</v>
      </c>
      <c r="K31">
        <v>2032</v>
      </c>
      <c r="L31" s="56">
        <f>'Future Type Share'!U33*'Future EndUse Share'!Y94</f>
        <v>3557.2325449635282</v>
      </c>
      <c r="M31" s="56">
        <f>'Future Type Share'!S33*0.5*'Future EndUse Share'!N94</f>
        <v>0</v>
      </c>
      <c r="N31" s="56">
        <f>'Future Type Share'!Q33*'Future EndUse Share'!N94</f>
        <v>0</v>
      </c>
      <c r="O31" s="56">
        <f t="shared" si="9"/>
        <v>0</v>
      </c>
      <c r="P31" s="56">
        <f t="shared" si="9"/>
        <v>0</v>
      </c>
      <c r="Q31" s="56">
        <f t="shared" si="9"/>
        <v>0</v>
      </c>
      <c r="U31">
        <v>2032</v>
      </c>
      <c r="V31" s="56">
        <f t="shared" si="6"/>
        <v>0</v>
      </c>
      <c r="W31" s="56">
        <f t="shared" si="6"/>
        <v>0</v>
      </c>
      <c r="X31" s="56">
        <f t="shared" si="6"/>
        <v>0</v>
      </c>
      <c r="Y31" s="56">
        <f t="shared" si="6"/>
        <v>0</v>
      </c>
      <c r="Z31" s="56">
        <f t="shared" si="6"/>
        <v>0</v>
      </c>
      <c r="AA31" s="56">
        <f t="shared" si="7"/>
        <v>0</v>
      </c>
      <c r="AE31">
        <v>2032</v>
      </c>
      <c r="AF31" s="56">
        <f>'Future Type Share'!U33*('Future EndUse Share'!Z94+'Future EndUse Share'!AB94+'Future EndUse Share'!AC94+'Future EndUse Share'!AD94)</f>
        <v>12499.730527640431</v>
      </c>
      <c r="AG31" s="56">
        <f>'Future Type Share'!S33*0.5*('Future EndUse Share'!O94+'Future EndUse Share'!Q94+'Future EndUse Share'!R94+'Future EndUse Share'!S94)</f>
        <v>0</v>
      </c>
      <c r="AH31" s="56">
        <f>'Future Type Share'!Q33*('Future EndUse Share'!O94+'Future EndUse Share'!Q94+'Future EndUse Share'!R94+'Future EndUse Share'!S94)</f>
        <v>5675.3701106570252</v>
      </c>
      <c r="AI31">
        <f t="shared" si="3"/>
        <v>0</v>
      </c>
      <c r="AJ31">
        <f t="shared" si="10"/>
        <v>0</v>
      </c>
      <c r="AK31">
        <f t="shared" si="10"/>
        <v>0</v>
      </c>
      <c r="AO31">
        <v>2032</v>
      </c>
      <c r="AP31" s="56">
        <f>'Future Type Share'!U33*('Future EndUse Share'!AE94)</f>
        <v>2005.4996783460917</v>
      </c>
      <c r="AQ31" s="56">
        <f>'Future Type Share'!S33*0.5*('Future EndUse Share'!T94)</f>
        <v>0</v>
      </c>
      <c r="AR31" s="56">
        <f>'Future Type Share'!Q33*'Future EndUse Share'!T94</f>
        <v>32.151174322660822</v>
      </c>
      <c r="AS31">
        <f t="shared" si="4"/>
        <v>0</v>
      </c>
      <c r="AT31">
        <f t="shared" si="11"/>
        <v>0</v>
      </c>
      <c r="AU31">
        <f t="shared" si="11"/>
        <v>0</v>
      </c>
    </row>
    <row r="32" spans="1:47">
      <c r="A32">
        <v>2033</v>
      </c>
      <c r="B32" s="56">
        <f>'Future Type Share'!U34*'Future EndUse Share'!AA95</f>
        <v>933.42388456175343</v>
      </c>
      <c r="C32" s="56">
        <f>'Future Type Share'!Q34*0.5*'Future EndUse Share'!P95</f>
        <v>0</v>
      </c>
      <c r="D32" s="56">
        <f>'Future Type Share'!Q34*'Future EndUse Share'!P95</f>
        <v>0</v>
      </c>
      <c r="E32" s="56">
        <f t="shared" si="5"/>
        <v>0</v>
      </c>
      <c r="F32">
        <f t="shared" si="8"/>
        <v>0</v>
      </c>
      <c r="G32">
        <f t="shared" si="8"/>
        <v>0</v>
      </c>
      <c r="K32">
        <v>2033</v>
      </c>
      <c r="L32" s="56">
        <f>'Future Type Share'!U34*'Future EndUse Share'!Y95</f>
        <v>3542.2539016513415</v>
      </c>
      <c r="M32" s="56">
        <f>'Future Type Share'!S34*0.5*'Future EndUse Share'!N95</f>
        <v>0</v>
      </c>
      <c r="N32" s="56">
        <f>'Future Type Share'!Q34*'Future EndUse Share'!N95</f>
        <v>0</v>
      </c>
      <c r="O32" s="56">
        <f t="shared" si="9"/>
        <v>0</v>
      </c>
      <c r="P32" s="56">
        <f t="shared" si="9"/>
        <v>0</v>
      </c>
      <c r="Q32" s="56">
        <f t="shared" si="9"/>
        <v>0</v>
      </c>
      <c r="U32">
        <v>2033</v>
      </c>
      <c r="V32" s="56">
        <f t="shared" ref="V32:Z47" si="12">V31</f>
        <v>0</v>
      </c>
      <c r="W32" s="56">
        <f t="shared" si="12"/>
        <v>0</v>
      </c>
      <c r="X32" s="56">
        <f t="shared" si="12"/>
        <v>0</v>
      </c>
      <c r="Y32" s="56">
        <f t="shared" si="12"/>
        <v>0</v>
      </c>
      <c r="Z32" s="56">
        <f t="shared" si="12"/>
        <v>0</v>
      </c>
      <c r="AA32" s="56">
        <f t="shared" si="7"/>
        <v>0</v>
      </c>
      <c r="AE32">
        <v>2033</v>
      </c>
      <c r="AF32" s="56">
        <f>'Future Type Share'!U34*('Future EndUse Share'!Z95+'Future EndUse Share'!AB95+'Future EndUse Share'!AC95+'Future EndUse Share'!AD95)</f>
        <v>13053.736901167902</v>
      </c>
      <c r="AG32" s="56">
        <f>'Future Type Share'!S34*0.5*('Future EndUse Share'!O95+'Future EndUse Share'!Q95+'Future EndUse Share'!R95+'Future EndUse Share'!S95)</f>
        <v>0</v>
      </c>
      <c r="AH32" s="56">
        <f>'Future Type Share'!Q34*('Future EndUse Share'!O95+'Future EndUse Share'!Q95+'Future EndUse Share'!R95+'Future EndUse Share'!S95)</f>
        <v>5723.3492408256734</v>
      </c>
      <c r="AI32">
        <f t="shared" si="3"/>
        <v>0</v>
      </c>
      <c r="AJ32">
        <f t="shared" si="10"/>
        <v>0</v>
      </c>
      <c r="AK32">
        <f t="shared" si="10"/>
        <v>0</v>
      </c>
      <c r="AO32">
        <v>2033</v>
      </c>
      <c r="AP32" s="56">
        <f>'Future Type Share'!U34*('Future EndUse Share'!AE95)</f>
        <v>2062.6177707393358</v>
      </c>
      <c r="AQ32" s="56">
        <f>'Future Type Share'!S34*0.5*('Future EndUse Share'!T95)</f>
        <v>0</v>
      </c>
      <c r="AR32" s="56">
        <f>'Future Type Share'!Q34*'Future EndUse Share'!T95</f>
        <v>33.048910242841856</v>
      </c>
      <c r="AS32">
        <f t="shared" si="4"/>
        <v>0</v>
      </c>
      <c r="AT32">
        <f t="shared" si="11"/>
        <v>0</v>
      </c>
      <c r="AU32">
        <f t="shared" si="11"/>
        <v>0</v>
      </c>
    </row>
    <row r="33" spans="1:47">
      <c r="A33">
        <v>2034</v>
      </c>
      <c r="B33" s="56">
        <f>'Future Type Share'!U35*'Future EndUse Share'!AA96</f>
        <v>958.59382325348861</v>
      </c>
      <c r="C33" s="56">
        <f>'Future Type Share'!Q35*0.5*'Future EndUse Share'!P96</f>
        <v>0</v>
      </c>
      <c r="D33" s="56">
        <f>'Future Type Share'!Q35*'Future EndUse Share'!P96</f>
        <v>0</v>
      </c>
      <c r="E33" s="56">
        <f t="shared" si="5"/>
        <v>0</v>
      </c>
      <c r="F33">
        <f t="shared" ref="F33:G48" si="13">F32</f>
        <v>0</v>
      </c>
      <c r="G33">
        <f t="shared" si="13"/>
        <v>0</v>
      </c>
      <c r="K33">
        <v>2034</v>
      </c>
      <c r="L33" s="56">
        <f>'Future Type Share'!U35*'Future EndUse Share'!Y96</f>
        <v>3523.256806873384</v>
      </c>
      <c r="M33" s="56">
        <f>'Future Type Share'!S35*0.5*'Future EndUse Share'!N96</f>
        <v>0</v>
      </c>
      <c r="N33" s="56">
        <f>'Future Type Share'!Q35*'Future EndUse Share'!N96</f>
        <v>0</v>
      </c>
      <c r="O33" s="56">
        <f t="shared" ref="O33:Q48" si="14">O32</f>
        <v>0</v>
      </c>
      <c r="P33" s="56">
        <f t="shared" si="14"/>
        <v>0</v>
      </c>
      <c r="Q33" s="56">
        <f t="shared" si="14"/>
        <v>0</v>
      </c>
      <c r="U33">
        <v>2034</v>
      </c>
      <c r="V33" s="56">
        <f t="shared" si="12"/>
        <v>0</v>
      </c>
      <c r="W33" s="56">
        <f t="shared" si="12"/>
        <v>0</v>
      </c>
      <c r="X33" s="56">
        <f t="shared" si="12"/>
        <v>0</v>
      </c>
      <c r="Y33" s="56">
        <f t="shared" si="12"/>
        <v>0</v>
      </c>
      <c r="Z33" s="56">
        <f t="shared" si="12"/>
        <v>0</v>
      </c>
      <c r="AA33" s="56">
        <f t="shared" si="7"/>
        <v>0</v>
      </c>
      <c r="AE33">
        <v>2034</v>
      </c>
      <c r="AF33" s="56">
        <f>'Future Type Share'!U35*('Future EndUse Share'!Z96+'Future EndUse Share'!AB96+'Future EndUse Share'!AC96+'Future EndUse Share'!AD96)</f>
        <v>13626.315621814476</v>
      </c>
      <c r="AG33" s="56">
        <f>'Future Type Share'!S35*0.5*('Future EndUse Share'!O96+'Future EndUse Share'!Q96+'Future EndUse Share'!R96+'Future EndUse Share'!S96)</f>
        <v>0</v>
      </c>
      <c r="AH33" s="56">
        <f>'Future Type Share'!Q35*('Future EndUse Share'!O96+'Future EndUse Share'!Q96+'Future EndUse Share'!R96+'Future EndUse Share'!S96)</f>
        <v>5768.8170299449521</v>
      </c>
      <c r="AI33">
        <f t="shared" si="3"/>
        <v>0</v>
      </c>
      <c r="AJ33">
        <f t="shared" ref="AJ33:AK48" si="15">AJ32</f>
        <v>0</v>
      </c>
      <c r="AK33">
        <f t="shared" si="15"/>
        <v>0</v>
      </c>
      <c r="AO33">
        <v>2034</v>
      </c>
      <c r="AP33" s="56">
        <f>'Future Type Share'!U35*('Future EndUse Share'!AE96)</f>
        <v>2121.029700970686</v>
      </c>
      <c r="AQ33" s="56">
        <f>'Future Type Share'!S35*0.5*('Future EndUse Share'!T96)</f>
        <v>0</v>
      </c>
      <c r="AR33" s="56">
        <f>'Future Type Share'!Q35*'Future EndUse Share'!T96</f>
        <v>33.942501704579271</v>
      </c>
      <c r="AS33">
        <f t="shared" si="4"/>
        <v>0</v>
      </c>
      <c r="AT33">
        <f t="shared" ref="AT33:AU48" si="16">AT32</f>
        <v>0</v>
      </c>
      <c r="AU33">
        <f t="shared" si="16"/>
        <v>0</v>
      </c>
    </row>
    <row r="34" spans="1:47">
      <c r="A34">
        <v>2035</v>
      </c>
      <c r="B34" s="56">
        <f>'Future Type Share'!U36*'Future EndUse Share'!AA97</f>
        <v>984.44288924220541</v>
      </c>
      <c r="C34" s="56">
        <f>'Future Type Share'!Q36*0.5*'Future EndUse Share'!P97</f>
        <v>0</v>
      </c>
      <c r="D34" s="56">
        <f>'Future Type Share'!Q36*'Future EndUse Share'!P97</f>
        <v>0</v>
      </c>
      <c r="E34" s="56">
        <f t="shared" si="5"/>
        <v>0</v>
      </c>
      <c r="F34">
        <f t="shared" si="13"/>
        <v>0</v>
      </c>
      <c r="G34">
        <f t="shared" si="13"/>
        <v>0</v>
      </c>
      <c r="K34">
        <v>2035</v>
      </c>
      <c r="L34" s="56">
        <f>'Future Type Share'!U36*'Future EndUse Share'!Y97</f>
        <v>3500.6610235137296</v>
      </c>
      <c r="M34" s="56">
        <f>'Future Type Share'!S36*0.5*'Future EndUse Share'!N97</f>
        <v>0</v>
      </c>
      <c r="N34" s="56">
        <f>'Future Type Share'!Q36*'Future EndUse Share'!N97</f>
        <v>0</v>
      </c>
      <c r="O34" s="56">
        <f t="shared" si="14"/>
        <v>0</v>
      </c>
      <c r="P34" s="56">
        <f t="shared" si="14"/>
        <v>0</v>
      </c>
      <c r="Q34" s="56">
        <f t="shared" si="14"/>
        <v>0</v>
      </c>
      <c r="U34">
        <v>2035</v>
      </c>
      <c r="V34" s="56">
        <f t="shared" si="12"/>
        <v>0</v>
      </c>
      <c r="W34" s="56">
        <f t="shared" si="12"/>
        <v>0</v>
      </c>
      <c r="X34" s="56">
        <f t="shared" si="12"/>
        <v>0</v>
      </c>
      <c r="Y34" s="56">
        <f t="shared" si="12"/>
        <v>0</v>
      </c>
      <c r="Z34" s="56">
        <f t="shared" si="12"/>
        <v>0</v>
      </c>
      <c r="AA34" s="56">
        <f t="shared" si="7"/>
        <v>0</v>
      </c>
      <c r="AE34">
        <v>2035</v>
      </c>
      <c r="AF34" s="56">
        <f>'Future Type Share'!U36*('Future EndUse Share'!Z97+'Future EndUse Share'!AB97+'Future EndUse Share'!AC97+'Future EndUse Share'!AD97)</f>
        <v>14220.263897486517</v>
      </c>
      <c r="AG34" s="56">
        <f>'Future Type Share'!S36*0.5*('Future EndUse Share'!O97+'Future EndUse Share'!Q97+'Future EndUse Share'!R97+'Future EndUse Share'!S97)</f>
        <v>0</v>
      </c>
      <c r="AH34" s="56">
        <f>'Future Type Share'!Q36*('Future EndUse Share'!O97+'Future EndUse Share'!Q97+'Future EndUse Share'!R97+'Future EndUse Share'!S97)</f>
        <v>5812.6019763156464</v>
      </c>
      <c r="AI34">
        <f t="shared" si="3"/>
        <v>0</v>
      </c>
      <c r="AJ34">
        <f t="shared" si="15"/>
        <v>0</v>
      </c>
      <c r="AK34">
        <f t="shared" si="15"/>
        <v>0</v>
      </c>
      <c r="AO34">
        <v>2035</v>
      </c>
      <c r="AP34" s="56">
        <f>'Future Type Share'!U36*('Future EndUse Share'!AE97)</f>
        <v>2181.1171313970476</v>
      </c>
      <c r="AQ34" s="56">
        <f>'Future Type Share'!S36*0.5*('Future EndUse Share'!T97)</f>
        <v>0</v>
      </c>
      <c r="AR34" s="56">
        <f>'Future Type Share'!Q36*'Future EndUse Share'!T97</f>
        <v>34.836093219435</v>
      </c>
      <c r="AS34">
        <f t="shared" si="4"/>
        <v>0</v>
      </c>
      <c r="AT34">
        <f t="shared" si="16"/>
        <v>0</v>
      </c>
      <c r="AU34">
        <f t="shared" si="16"/>
        <v>0</v>
      </c>
    </row>
    <row r="35" spans="1:47">
      <c r="A35">
        <v>2036</v>
      </c>
      <c r="B35" s="56">
        <f>'Future Type Share'!U37*'Future EndUse Share'!AA98</f>
        <v>1009.7823343117361</v>
      </c>
      <c r="C35" s="56">
        <f>'Future Type Share'!Q37*0.5*'Future EndUse Share'!P98</f>
        <v>0</v>
      </c>
      <c r="D35" s="56">
        <f>'Future Type Share'!Q37*'Future EndUse Share'!P98</f>
        <v>0</v>
      </c>
      <c r="E35" s="56">
        <f t="shared" si="5"/>
        <v>0</v>
      </c>
      <c r="F35">
        <f t="shared" si="13"/>
        <v>0</v>
      </c>
      <c r="G35">
        <f t="shared" si="13"/>
        <v>0</v>
      </c>
      <c r="K35">
        <v>2036</v>
      </c>
      <c r="L35" s="56">
        <f>'Future Type Share'!U37*'Future EndUse Share'!Y98</f>
        <v>3470.1380058780646</v>
      </c>
      <c r="M35" s="56">
        <f>'Future Type Share'!S37*0.5*'Future EndUse Share'!N98</f>
        <v>0</v>
      </c>
      <c r="N35" s="56">
        <f>'Future Type Share'!Q37*'Future EndUse Share'!N98</f>
        <v>0</v>
      </c>
      <c r="O35" s="56">
        <f t="shared" si="14"/>
        <v>0</v>
      </c>
      <c r="P35" s="56">
        <f t="shared" si="14"/>
        <v>0</v>
      </c>
      <c r="Q35" s="56">
        <f t="shared" si="14"/>
        <v>0</v>
      </c>
      <c r="U35">
        <v>2036</v>
      </c>
      <c r="V35" s="56">
        <f t="shared" si="12"/>
        <v>0</v>
      </c>
      <c r="W35" s="56">
        <f t="shared" si="12"/>
        <v>0</v>
      </c>
      <c r="X35" s="56">
        <f t="shared" si="12"/>
        <v>0</v>
      </c>
      <c r="Y35" s="56">
        <f t="shared" si="12"/>
        <v>0</v>
      </c>
      <c r="Z35" s="56">
        <f t="shared" si="12"/>
        <v>0</v>
      </c>
      <c r="AA35" s="56">
        <f t="shared" si="7"/>
        <v>0</v>
      </c>
      <c r="AE35">
        <v>2036</v>
      </c>
      <c r="AF35" s="56">
        <f>'Future Type Share'!U37*('Future EndUse Share'!Z98+'Future EndUse Share'!AB98+'Future EndUse Share'!AC98+'Future EndUse Share'!AD98)</f>
        <v>14818.603660070174</v>
      </c>
      <c r="AG35" s="56">
        <f>'Future Type Share'!S37*0.5*('Future EndUse Share'!O98+'Future EndUse Share'!Q98+'Future EndUse Share'!R98+'Future EndUse Share'!S98)</f>
        <v>0</v>
      </c>
      <c r="AH35" s="56">
        <f>'Future Type Share'!Q37*('Future EndUse Share'!O98+'Future EndUse Share'!Q98+'Future EndUse Share'!R98+'Future EndUse Share'!S98)</f>
        <v>5847.590686090387</v>
      </c>
      <c r="AI35">
        <f t="shared" si="3"/>
        <v>0</v>
      </c>
      <c r="AJ35">
        <f t="shared" si="15"/>
        <v>0</v>
      </c>
      <c r="AK35">
        <f t="shared" si="15"/>
        <v>0</v>
      </c>
      <c r="AO35">
        <v>2036</v>
      </c>
      <c r="AP35" s="56">
        <f>'Future Type Share'!U37*('Future EndUse Share'!AE98)</f>
        <v>2240.2506577486497</v>
      </c>
      <c r="AQ35" s="56">
        <f>'Future Type Share'!S37*0.5*('Future EndUse Share'!T98)</f>
        <v>0</v>
      </c>
      <c r="AR35" s="56">
        <f>'Future Type Share'!Q37*'Future EndUse Share'!T98</f>
        <v>35.685725124911592</v>
      </c>
      <c r="AS35">
        <f t="shared" si="4"/>
        <v>0</v>
      </c>
      <c r="AT35">
        <f t="shared" si="16"/>
        <v>0</v>
      </c>
      <c r="AU35">
        <f t="shared" si="16"/>
        <v>0</v>
      </c>
    </row>
    <row r="36" spans="1:47">
      <c r="A36">
        <v>2037</v>
      </c>
      <c r="B36" s="56">
        <f>'Future Type Share'!U38*'Future EndUse Share'!AA99</f>
        <v>1035.6608199250468</v>
      </c>
      <c r="C36" s="56">
        <f>'Future Type Share'!Q38*0.5*'Future EndUse Share'!P99</f>
        <v>0</v>
      </c>
      <c r="D36" s="56">
        <f>'Future Type Share'!Q38*'Future EndUse Share'!P99</f>
        <v>0</v>
      </c>
      <c r="E36" s="56">
        <f t="shared" si="5"/>
        <v>0</v>
      </c>
      <c r="F36">
        <f t="shared" si="13"/>
        <v>0</v>
      </c>
      <c r="G36">
        <f t="shared" si="13"/>
        <v>0</v>
      </c>
      <c r="K36">
        <v>2037</v>
      </c>
      <c r="L36" s="56">
        <f>'Future Type Share'!U38*'Future EndUse Share'!Y99</f>
        <v>3435.348866241618</v>
      </c>
      <c r="M36" s="56">
        <f>'Future Type Share'!S38*0.5*'Future EndUse Share'!N99</f>
        <v>0</v>
      </c>
      <c r="N36" s="56">
        <f>'Future Type Share'!Q38*'Future EndUse Share'!N99</f>
        <v>0</v>
      </c>
      <c r="O36" s="56">
        <f t="shared" si="14"/>
        <v>0</v>
      </c>
      <c r="P36" s="56">
        <f t="shared" si="14"/>
        <v>0</v>
      </c>
      <c r="Q36" s="56">
        <f t="shared" si="14"/>
        <v>0</v>
      </c>
      <c r="U36">
        <v>2037</v>
      </c>
      <c r="V36" s="56">
        <f t="shared" si="12"/>
        <v>0</v>
      </c>
      <c r="W36" s="56">
        <f t="shared" si="12"/>
        <v>0</v>
      </c>
      <c r="X36" s="56">
        <f t="shared" si="12"/>
        <v>0</v>
      </c>
      <c r="Y36" s="56">
        <f t="shared" si="12"/>
        <v>0</v>
      </c>
      <c r="Z36" s="56">
        <f t="shared" si="12"/>
        <v>0</v>
      </c>
      <c r="AA36" s="56">
        <f t="shared" si="7"/>
        <v>0</v>
      </c>
      <c r="AE36">
        <v>2037</v>
      </c>
      <c r="AF36" s="56">
        <f>'Future Type Share'!U38*('Future EndUse Share'!Z99+'Future EndUse Share'!AB99+'Future EndUse Share'!AC99+'Future EndUse Share'!AD99)</f>
        <v>15436.61169795133</v>
      </c>
      <c r="AG36" s="56">
        <f>'Future Type Share'!S38*0.5*('Future EndUse Share'!O99+'Future EndUse Share'!Q99+'Future EndUse Share'!R99+'Future EndUse Share'!S99)</f>
        <v>0</v>
      </c>
      <c r="AH36" s="56">
        <f>'Future Type Share'!Q38*('Future EndUse Share'!O99+'Future EndUse Share'!Q99+'Future EndUse Share'!R99+'Future EndUse Share'!S99)</f>
        <v>5879.9123001103908</v>
      </c>
      <c r="AI36">
        <f t="shared" si="3"/>
        <v>0</v>
      </c>
      <c r="AJ36">
        <f t="shared" si="15"/>
        <v>0</v>
      </c>
      <c r="AK36">
        <f t="shared" si="15"/>
        <v>0</v>
      </c>
      <c r="AO36">
        <v>2037</v>
      </c>
      <c r="AP36" s="56">
        <f>'Future Type Share'!U38*('Future EndUse Share'!AE99)</f>
        <v>2300.7572557394628</v>
      </c>
      <c r="AQ36" s="56">
        <f>'Future Type Share'!S38*0.5*('Future EndUse Share'!T99)</f>
        <v>0</v>
      </c>
      <c r="AR36" s="56">
        <f>'Future Type Share'!Q38*'Future EndUse Share'!T99</f>
        <v>36.526586906641413</v>
      </c>
      <c r="AS36">
        <f t="shared" si="4"/>
        <v>0</v>
      </c>
      <c r="AT36">
        <f t="shared" si="16"/>
        <v>0</v>
      </c>
      <c r="AU36">
        <f t="shared" si="16"/>
        <v>0</v>
      </c>
    </row>
    <row r="37" spans="1:47">
      <c r="A37">
        <v>2038</v>
      </c>
      <c r="B37" s="56">
        <f>'Future Type Share'!U39*'Future EndUse Share'!AA100</f>
        <v>1061.6040006627056</v>
      </c>
      <c r="C37" s="56">
        <f>'Future Type Share'!Q39*0.5*'Future EndUse Share'!P100</f>
        <v>0</v>
      </c>
      <c r="D37" s="56">
        <f>'Future Type Share'!Q39*'Future EndUse Share'!P100</f>
        <v>0</v>
      </c>
      <c r="E37" s="56">
        <f t="shared" si="5"/>
        <v>0</v>
      </c>
      <c r="F37">
        <f t="shared" si="13"/>
        <v>0</v>
      </c>
      <c r="G37">
        <f t="shared" si="13"/>
        <v>0</v>
      </c>
      <c r="K37">
        <v>2038</v>
      </c>
      <c r="L37" s="56">
        <f>'Future Type Share'!U39*'Future EndUse Share'!Y100</f>
        <v>3394.5836552774381</v>
      </c>
      <c r="M37" s="56">
        <f>'Future Type Share'!S39*0.5*'Future EndUse Share'!N100</f>
        <v>0</v>
      </c>
      <c r="N37" s="56">
        <f>'Future Type Share'!Q39*'Future EndUse Share'!N100</f>
        <v>0</v>
      </c>
      <c r="O37" s="56">
        <f t="shared" si="14"/>
        <v>0</v>
      </c>
      <c r="P37" s="56">
        <f t="shared" si="14"/>
        <v>0</v>
      </c>
      <c r="Q37" s="56">
        <f t="shared" si="14"/>
        <v>0</v>
      </c>
      <c r="U37">
        <v>2038</v>
      </c>
      <c r="V37" s="56">
        <f t="shared" si="12"/>
        <v>0</v>
      </c>
      <c r="W37" s="56">
        <f t="shared" si="12"/>
        <v>0</v>
      </c>
      <c r="X37" s="56">
        <f t="shared" si="12"/>
        <v>0</v>
      </c>
      <c r="Y37" s="56">
        <f t="shared" si="12"/>
        <v>0</v>
      </c>
      <c r="Z37" s="56">
        <f t="shared" si="12"/>
        <v>0</v>
      </c>
      <c r="AA37" s="56">
        <f t="shared" si="7"/>
        <v>0</v>
      </c>
      <c r="AE37">
        <v>2038</v>
      </c>
      <c r="AF37" s="56">
        <f>'Future Type Share'!U39*('Future EndUse Share'!Z100+'Future EndUse Share'!AB100+'Future EndUse Share'!AC100+'Future EndUse Share'!AD100)</f>
        <v>16067.478838322062</v>
      </c>
      <c r="AG37" s="56">
        <f>'Future Type Share'!S39*0.5*('Future EndUse Share'!O100+'Future EndUse Share'!Q100+'Future EndUse Share'!R100+'Future EndUse Share'!S100)</f>
        <v>0</v>
      </c>
      <c r="AH37" s="56">
        <f>'Future Type Share'!Q39*('Future EndUse Share'!O100+'Future EndUse Share'!Q100+'Future EndUse Share'!R100+'Future EndUse Share'!S100)</f>
        <v>5906.745945061818</v>
      </c>
      <c r="AI37">
        <f t="shared" si="3"/>
        <v>0</v>
      </c>
      <c r="AJ37">
        <f t="shared" si="15"/>
        <v>0</v>
      </c>
      <c r="AK37">
        <f t="shared" si="15"/>
        <v>0</v>
      </c>
      <c r="AO37">
        <v>2038</v>
      </c>
      <c r="AP37" s="56">
        <f>'Future Type Share'!U39*('Future EndUse Share'!AE100)</f>
        <v>2361.5884590329729</v>
      </c>
      <c r="AQ37" s="56">
        <f>'Future Type Share'!S39*0.5*('Future EndUse Share'!T100)</f>
        <v>0</v>
      </c>
      <c r="AR37" s="56">
        <f>'Future Type Share'!Q39*'Future EndUse Share'!T100</f>
        <v>37.339972720271462</v>
      </c>
      <c r="AS37">
        <f t="shared" si="4"/>
        <v>0</v>
      </c>
      <c r="AT37">
        <f t="shared" si="16"/>
        <v>0</v>
      </c>
      <c r="AU37">
        <f t="shared" si="16"/>
        <v>0</v>
      </c>
    </row>
    <row r="38" spans="1:47">
      <c r="A38">
        <v>2039</v>
      </c>
      <c r="B38" s="56">
        <f>'Future Type Share'!U40*'Future EndUse Share'!AA101</f>
        <v>1087.418653832965</v>
      </c>
      <c r="C38" s="56">
        <f>'Future Type Share'!Q40*0.5*'Future EndUse Share'!P101</f>
        <v>0</v>
      </c>
      <c r="D38" s="56">
        <f>'Future Type Share'!Q40*'Future EndUse Share'!P101</f>
        <v>0</v>
      </c>
      <c r="E38" s="56">
        <f t="shared" si="5"/>
        <v>0</v>
      </c>
      <c r="F38">
        <f t="shared" si="13"/>
        <v>0</v>
      </c>
      <c r="G38">
        <f t="shared" si="13"/>
        <v>0</v>
      </c>
      <c r="K38">
        <v>2039</v>
      </c>
      <c r="L38" s="56">
        <f>'Future Type Share'!U40*'Future EndUse Share'!Y101</f>
        <v>3347.2244212857163</v>
      </c>
      <c r="M38" s="56">
        <f>'Future Type Share'!S40*0.5*'Future EndUse Share'!N101</f>
        <v>0</v>
      </c>
      <c r="N38" s="56">
        <f>'Future Type Share'!Q40*'Future EndUse Share'!N101</f>
        <v>0</v>
      </c>
      <c r="O38" s="56">
        <f t="shared" si="14"/>
        <v>0</v>
      </c>
      <c r="P38" s="56">
        <f t="shared" si="14"/>
        <v>0</v>
      </c>
      <c r="Q38" s="56">
        <f t="shared" si="14"/>
        <v>0</v>
      </c>
      <c r="U38">
        <v>2039</v>
      </c>
      <c r="V38" s="56">
        <f t="shared" si="12"/>
        <v>0</v>
      </c>
      <c r="W38" s="56">
        <f t="shared" si="12"/>
        <v>0</v>
      </c>
      <c r="X38" s="56">
        <f t="shared" si="12"/>
        <v>0</v>
      </c>
      <c r="Y38" s="56">
        <f t="shared" si="12"/>
        <v>0</v>
      </c>
      <c r="Z38" s="56">
        <f t="shared" si="12"/>
        <v>0</v>
      </c>
      <c r="AA38" s="56">
        <f t="shared" si="7"/>
        <v>0</v>
      </c>
      <c r="AE38">
        <v>2039</v>
      </c>
      <c r="AF38" s="56">
        <f>'Future Type Share'!U40*('Future EndUse Share'!Z101+'Future EndUse Share'!AB101+'Future EndUse Share'!AC101+'Future EndUse Share'!AD101)</f>
        <v>16708.278928970281</v>
      </c>
      <c r="AG38" s="56">
        <f>'Future Type Share'!S40*0.5*('Future EndUse Share'!O101+'Future EndUse Share'!Q101+'Future EndUse Share'!R101+'Future EndUse Share'!S101)</f>
        <v>0</v>
      </c>
      <c r="AH38" s="56">
        <f>'Future Type Share'!Q40*('Future EndUse Share'!O101+'Future EndUse Share'!Q101+'Future EndUse Share'!R101+'Future EndUse Share'!S101)</f>
        <v>5927.0183419899904</v>
      </c>
      <c r="AI38">
        <f t="shared" si="3"/>
        <v>0</v>
      </c>
      <c r="AJ38">
        <f t="shared" si="15"/>
        <v>0</v>
      </c>
      <c r="AK38">
        <f t="shared" si="15"/>
        <v>0</v>
      </c>
      <c r="AO38">
        <v>2039</v>
      </c>
      <c r="AP38" s="56">
        <f>'Future Type Share'!U40*('Future EndUse Share'!AE101)</f>
        <v>2422.3163437659691</v>
      </c>
      <c r="AQ38" s="56">
        <f>'Future Type Share'!S40*0.5*('Future EndUse Share'!T101)</f>
        <v>0</v>
      </c>
      <c r="AR38" s="56">
        <f>'Future Type Share'!Q40*'Future EndUse Share'!T101</f>
        <v>38.117179647439713</v>
      </c>
      <c r="AS38">
        <f t="shared" si="4"/>
        <v>0</v>
      </c>
      <c r="AT38">
        <f t="shared" si="16"/>
        <v>0</v>
      </c>
      <c r="AU38">
        <f t="shared" si="16"/>
        <v>0</v>
      </c>
    </row>
    <row r="39" spans="1:47">
      <c r="A39">
        <v>2040</v>
      </c>
      <c r="B39" s="56">
        <f>'Future Type Share'!U41*'Future EndUse Share'!AA102</f>
        <v>1113.0741737098392</v>
      </c>
      <c r="C39" s="56">
        <f>'Future Type Share'!Q41*0.5*'Future EndUse Share'!P102</f>
        <v>0</v>
      </c>
      <c r="D39" s="56">
        <f>'Future Type Share'!Q41*'Future EndUse Share'!P102</f>
        <v>0</v>
      </c>
      <c r="E39" s="56">
        <f t="shared" si="5"/>
        <v>0</v>
      </c>
      <c r="F39">
        <f t="shared" si="13"/>
        <v>0</v>
      </c>
      <c r="G39">
        <f t="shared" si="13"/>
        <v>0</v>
      </c>
      <c r="K39">
        <v>2040</v>
      </c>
      <c r="L39" s="56">
        <f>'Future Type Share'!U41*'Future EndUse Share'!Y102</f>
        <v>3293.2266739181396</v>
      </c>
      <c r="M39" s="56">
        <f>'Future Type Share'!S41*0.5*'Future EndUse Share'!N102</f>
        <v>0</v>
      </c>
      <c r="N39" s="56">
        <f>'Future Type Share'!Q41*'Future EndUse Share'!N102</f>
        <v>0</v>
      </c>
      <c r="O39" s="56">
        <f t="shared" si="14"/>
        <v>0</v>
      </c>
      <c r="P39" s="56">
        <f t="shared" si="14"/>
        <v>0</v>
      </c>
      <c r="Q39" s="56">
        <f t="shared" si="14"/>
        <v>0</v>
      </c>
      <c r="U39">
        <v>2040</v>
      </c>
      <c r="V39" s="56">
        <f t="shared" si="12"/>
        <v>0</v>
      </c>
      <c r="W39" s="56">
        <f t="shared" si="12"/>
        <v>0</v>
      </c>
      <c r="X39" s="56">
        <f t="shared" si="12"/>
        <v>0</v>
      </c>
      <c r="Y39" s="56">
        <f t="shared" si="12"/>
        <v>0</v>
      </c>
      <c r="Z39" s="56">
        <f t="shared" si="12"/>
        <v>0</v>
      </c>
      <c r="AA39" s="56">
        <f t="shared" si="7"/>
        <v>0</v>
      </c>
      <c r="AE39">
        <v>2040</v>
      </c>
      <c r="AF39" s="56">
        <f>'Future Type Share'!U41*('Future EndUse Share'!Z102+'Future EndUse Share'!AB102+'Future EndUse Share'!AC102+'Future EndUse Share'!AD102)</f>
        <v>17358.444091053723</v>
      </c>
      <c r="AG39" s="56">
        <f>'Future Type Share'!S41*0.5*('Future EndUse Share'!O102+'Future EndUse Share'!Q102+'Future EndUse Share'!R102+'Future EndUse Share'!S102)</f>
        <v>0</v>
      </c>
      <c r="AH39" s="56">
        <f>'Future Type Share'!Q41*('Future EndUse Share'!O102+'Future EndUse Share'!Q102+'Future EndUse Share'!R102+'Future EndUse Share'!S102)</f>
        <v>5940.6117878867635</v>
      </c>
      <c r="AI39">
        <f t="shared" si="3"/>
        <v>0</v>
      </c>
      <c r="AJ39">
        <f t="shared" si="15"/>
        <v>0</v>
      </c>
      <c r="AK39">
        <f t="shared" si="15"/>
        <v>0</v>
      </c>
      <c r="AO39">
        <v>2040</v>
      </c>
      <c r="AP39" s="56">
        <f>'Future Type Share'!U41*('Future EndUse Share'!AE102)</f>
        <v>2482.8733704581432</v>
      </c>
      <c r="AQ39" s="56">
        <f>'Future Type Share'!S41*0.5*('Future EndUse Share'!T102)</f>
        <v>0</v>
      </c>
      <c r="AR39" s="56">
        <f>'Future Type Share'!Q41*'Future EndUse Share'!T102</f>
        <v>38.855283814048825</v>
      </c>
      <c r="AS39">
        <f t="shared" si="4"/>
        <v>0</v>
      </c>
      <c r="AT39">
        <f t="shared" si="16"/>
        <v>0</v>
      </c>
      <c r="AU39">
        <f t="shared" si="16"/>
        <v>0</v>
      </c>
    </row>
    <row r="40" spans="1:47">
      <c r="A40">
        <v>2041</v>
      </c>
      <c r="B40" s="56">
        <f>'Future Type Share'!U42*'Future EndUse Share'!AA103</f>
        <v>1138.580799633653</v>
      </c>
      <c r="C40" s="56">
        <f>'Future Type Share'!Q42*0.5*'Future EndUse Share'!P103</f>
        <v>0</v>
      </c>
      <c r="D40" s="56">
        <f>'Future Type Share'!Q42*'Future EndUse Share'!P103</f>
        <v>0</v>
      </c>
      <c r="E40" s="56">
        <f t="shared" si="5"/>
        <v>0</v>
      </c>
      <c r="F40">
        <f t="shared" si="13"/>
        <v>0</v>
      </c>
      <c r="G40">
        <f t="shared" si="13"/>
        <v>0</v>
      </c>
      <c r="K40">
        <v>2041</v>
      </c>
      <c r="L40" s="56">
        <f>'Future Type Share'!U42*'Future EndUse Share'!Y103</f>
        <v>3232.6765155456328</v>
      </c>
      <c r="M40" s="56">
        <f>'Future Type Share'!S42*0.5*'Future EndUse Share'!N103</f>
        <v>0</v>
      </c>
      <c r="N40" s="56">
        <f>'Future Type Share'!Q42*'Future EndUse Share'!N103</f>
        <v>0</v>
      </c>
      <c r="O40" s="56">
        <f t="shared" si="14"/>
        <v>0</v>
      </c>
      <c r="P40" s="56">
        <f t="shared" si="14"/>
        <v>0</v>
      </c>
      <c r="Q40" s="56">
        <f t="shared" si="14"/>
        <v>0</v>
      </c>
      <c r="U40">
        <v>2041</v>
      </c>
      <c r="V40" s="56">
        <f t="shared" si="12"/>
        <v>0</v>
      </c>
      <c r="W40" s="56">
        <f t="shared" si="12"/>
        <v>0</v>
      </c>
      <c r="X40" s="56">
        <f t="shared" si="12"/>
        <v>0</v>
      </c>
      <c r="Y40" s="56">
        <f t="shared" si="12"/>
        <v>0</v>
      </c>
      <c r="Z40" s="56">
        <f t="shared" si="12"/>
        <v>0</v>
      </c>
      <c r="AA40" s="56">
        <f t="shared" si="7"/>
        <v>0</v>
      </c>
      <c r="AE40">
        <v>2041</v>
      </c>
      <c r="AF40" s="56">
        <f>'Future Type Share'!U42*('Future EndUse Share'!Z103+'Future EndUse Share'!AB103+'Future EndUse Share'!AC103+'Future EndUse Share'!AD103)</f>
        <v>18018.024687512505</v>
      </c>
      <c r="AG40" s="56">
        <f>'Future Type Share'!S42*0.5*('Future EndUse Share'!O103+'Future EndUse Share'!Q103+'Future EndUse Share'!R103+'Future EndUse Share'!S103)</f>
        <v>0</v>
      </c>
      <c r="AH40" s="56">
        <f>'Future Type Share'!Q42*('Future EndUse Share'!O103+'Future EndUse Share'!Q103+'Future EndUse Share'!R103+'Future EndUse Share'!S103)</f>
        <v>5947.6358062920199</v>
      </c>
      <c r="AI40">
        <f t="shared" si="3"/>
        <v>0</v>
      </c>
      <c r="AJ40">
        <f t="shared" si="15"/>
        <v>0</v>
      </c>
      <c r="AK40">
        <f t="shared" si="15"/>
        <v>0</v>
      </c>
      <c r="AO40">
        <v>2041</v>
      </c>
      <c r="AP40" s="56">
        <f>'Future Type Share'!U42*('Future EndUse Share'!AE103)</f>
        <v>2543.2828398158908</v>
      </c>
      <c r="AQ40" s="56">
        <f>'Future Type Share'!S42*0.5*('Future EndUse Share'!T103)</f>
        <v>0</v>
      </c>
      <c r="AR40" s="56">
        <f>'Future Type Share'!Q42*'Future EndUse Share'!T103</f>
        <v>39.552819924616898</v>
      </c>
      <c r="AS40">
        <f t="shared" si="4"/>
        <v>0</v>
      </c>
      <c r="AT40">
        <f t="shared" si="16"/>
        <v>0</v>
      </c>
      <c r="AU40">
        <f t="shared" si="16"/>
        <v>0</v>
      </c>
    </row>
    <row r="41" spans="1:47">
      <c r="A41">
        <v>2042</v>
      </c>
      <c r="B41" s="56">
        <f>'Future Type Share'!U43*'Future EndUse Share'!AA104</f>
        <v>1163.9796525573192</v>
      </c>
      <c r="C41" s="56">
        <f>'Future Type Share'!Q43*0.5*'Future EndUse Share'!P104</f>
        <v>0</v>
      </c>
      <c r="D41" s="56">
        <f>'Future Type Share'!Q43*'Future EndUse Share'!P104</f>
        <v>0</v>
      </c>
      <c r="E41" s="56">
        <f t="shared" si="5"/>
        <v>0</v>
      </c>
      <c r="F41">
        <f t="shared" si="13"/>
        <v>0</v>
      </c>
      <c r="G41">
        <f t="shared" si="13"/>
        <v>0</v>
      </c>
      <c r="K41">
        <v>2042</v>
      </c>
      <c r="L41" s="56">
        <f>'Future Type Share'!U43*'Future EndUse Share'!Y104</f>
        <v>3165.7391461425022</v>
      </c>
      <c r="M41" s="56">
        <f>'Future Type Share'!S43*0.5*'Future EndUse Share'!N104</f>
        <v>0</v>
      </c>
      <c r="N41" s="56">
        <f>'Future Type Share'!Q43*'Future EndUse Share'!N104</f>
        <v>0</v>
      </c>
      <c r="O41" s="56">
        <f t="shared" si="14"/>
        <v>0</v>
      </c>
      <c r="P41" s="56">
        <f t="shared" si="14"/>
        <v>0</v>
      </c>
      <c r="Q41" s="56">
        <f t="shared" si="14"/>
        <v>0</v>
      </c>
      <c r="U41">
        <v>2042</v>
      </c>
      <c r="V41" s="56">
        <f t="shared" si="12"/>
        <v>0</v>
      </c>
      <c r="W41" s="56">
        <f t="shared" si="12"/>
        <v>0</v>
      </c>
      <c r="X41" s="56">
        <f t="shared" si="12"/>
        <v>0</v>
      </c>
      <c r="Y41" s="56">
        <f t="shared" si="12"/>
        <v>0</v>
      </c>
      <c r="Z41" s="56">
        <f t="shared" si="12"/>
        <v>0</v>
      </c>
      <c r="AA41" s="56">
        <f t="shared" si="7"/>
        <v>0</v>
      </c>
      <c r="AE41">
        <v>2042</v>
      </c>
      <c r="AF41" s="56">
        <f>'Future Type Share'!U43*('Future EndUse Share'!Z104+'Future EndUse Share'!AB104+'Future EndUse Share'!AC104+'Future EndUse Share'!AD104)</f>
        <v>18687.57632258931</v>
      </c>
      <c r="AG41" s="56">
        <f>'Future Type Share'!S43*0.5*('Future EndUse Share'!O104+'Future EndUse Share'!Q104+'Future EndUse Share'!R104+'Future EndUse Share'!S104)</f>
        <v>0</v>
      </c>
      <c r="AH41" s="56">
        <f>'Future Type Share'!Q43*('Future EndUse Share'!O104+'Future EndUse Share'!Q104+'Future EndUse Share'!R104+'Future EndUse Share'!S104)</f>
        <v>5948.3530701000527</v>
      </c>
      <c r="AI41">
        <f t="shared" si="3"/>
        <v>0</v>
      </c>
      <c r="AJ41">
        <f t="shared" si="15"/>
        <v>0</v>
      </c>
      <c r="AK41">
        <f t="shared" si="15"/>
        <v>0</v>
      </c>
      <c r="AO41">
        <v>2042</v>
      </c>
      <c r="AP41" s="56">
        <f>'Future Type Share'!U43*('Future EndUse Share'!AE104)</f>
        <v>2603.6372337354378</v>
      </c>
      <c r="AQ41" s="56">
        <f>'Future Type Share'!S43*0.5*('Future EndUse Share'!T104)</f>
        <v>0</v>
      </c>
      <c r="AR41" s="56">
        <f>'Future Type Share'!Q43*'Future EndUse Share'!T104</f>
        <v>40.209404986464477</v>
      </c>
      <c r="AS41">
        <f t="shared" si="4"/>
        <v>0</v>
      </c>
      <c r="AT41">
        <f t="shared" si="16"/>
        <v>0</v>
      </c>
      <c r="AU41">
        <f t="shared" si="16"/>
        <v>0</v>
      </c>
    </row>
    <row r="42" spans="1:47">
      <c r="A42">
        <v>2043</v>
      </c>
      <c r="B42" s="56">
        <f>'Future Type Share'!U44*'Future EndUse Share'!AA105</f>
        <v>1189.403920951956</v>
      </c>
      <c r="C42" s="56">
        <f>'Future Type Share'!Q44*0.5*'Future EndUse Share'!P105</f>
        <v>0</v>
      </c>
      <c r="D42" s="56">
        <f>'Future Type Share'!Q44*'Future EndUse Share'!P105</f>
        <v>0</v>
      </c>
      <c r="E42" s="56">
        <f t="shared" si="5"/>
        <v>0</v>
      </c>
      <c r="F42">
        <f t="shared" si="13"/>
        <v>0</v>
      </c>
      <c r="G42">
        <f t="shared" si="13"/>
        <v>0</v>
      </c>
      <c r="K42">
        <v>2043</v>
      </c>
      <c r="L42" s="56">
        <f>'Future Type Share'!U44*'Future EndUse Share'!Y105</f>
        <v>3092.7995188671248</v>
      </c>
      <c r="M42" s="56">
        <f>'Future Type Share'!S44*0.5*'Future EndUse Share'!N105</f>
        <v>0</v>
      </c>
      <c r="N42" s="56">
        <f>'Future Type Share'!Q44*'Future EndUse Share'!N105</f>
        <v>0</v>
      </c>
      <c r="O42" s="56">
        <f t="shared" si="14"/>
        <v>0</v>
      </c>
      <c r="P42" s="56">
        <f t="shared" si="14"/>
        <v>0</v>
      </c>
      <c r="Q42" s="56">
        <f t="shared" si="14"/>
        <v>0</v>
      </c>
      <c r="U42">
        <v>2043</v>
      </c>
      <c r="V42" s="56">
        <f t="shared" si="12"/>
        <v>0</v>
      </c>
      <c r="W42" s="56">
        <f t="shared" si="12"/>
        <v>0</v>
      </c>
      <c r="X42" s="56">
        <f t="shared" si="12"/>
        <v>0</v>
      </c>
      <c r="Y42" s="56">
        <f t="shared" si="12"/>
        <v>0</v>
      </c>
      <c r="Z42" s="56">
        <f t="shared" si="12"/>
        <v>0</v>
      </c>
      <c r="AA42" s="56">
        <f t="shared" si="7"/>
        <v>0</v>
      </c>
      <c r="AE42">
        <v>2043</v>
      </c>
      <c r="AF42" s="56">
        <f>'Future Type Share'!U44*('Future EndUse Share'!Z105+'Future EndUse Share'!AB105+'Future EndUse Share'!AC105+'Future EndUse Share'!AD105)</f>
        <v>19369.191735644388</v>
      </c>
      <c r="AG42" s="56">
        <f>'Future Type Share'!S44*0.5*('Future EndUse Share'!O105+'Future EndUse Share'!Q105+'Future EndUse Share'!R105+'Future EndUse Share'!S105)</f>
        <v>0</v>
      </c>
      <c r="AH42" s="56">
        <f>'Future Type Share'!Q44*('Future EndUse Share'!O105+'Future EndUse Share'!Q105+'Future EndUse Share'!R105+'Future EndUse Share'!S105)</f>
        <v>5943.4676495570866</v>
      </c>
      <c r="AI42">
        <f t="shared" si="3"/>
        <v>0</v>
      </c>
      <c r="AJ42">
        <f t="shared" si="15"/>
        <v>0</v>
      </c>
      <c r="AK42">
        <f t="shared" si="15"/>
        <v>0</v>
      </c>
      <c r="AO42">
        <v>2043</v>
      </c>
      <c r="AP42" s="56">
        <f>'Future Type Share'!U44*('Future EndUse Share'!AE105)</f>
        <v>2664.2357567830854</v>
      </c>
      <c r="AQ42" s="56">
        <f>'Future Type Share'!S44*0.5*('Future EndUse Share'!T105)</f>
        <v>0</v>
      </c>
      <c r="AR42" s="56">
        <f>'Future Type Share'!Q44*'Future EndUse Share'!T105</f>
        <v>40.827802341890767</v>
      </c>
      <c r="AS42">
        <f t="shared" si="4"/>
        <v>0</v>
      </c>
      <c r="AT42">
        <f t="shared" si="16"/>
        <v>0</v>
      </c>
      <c r="AU42">
        <f t="shared" si="16"/>
        <v>0</v>
      </c>
    </row>
    <row r="43" spans="1:47">
      <c r="A43">
        <v>2044</v>
      </c>
      <c r="B43" s="56">
        <f>'Future Type Share'!U45*'Future EndUse Share'!AA106</f>
        <v>1214.71700333287</v>
      </c>
      <c r="C43" s="56">
        <f>'Future Type Share'!Q45*0.5*'Future EndUse Share'!P106</f>
        <v>0</v>
      </c>
      <c r="D43" s="56">
        <f>'Future Type Share'!Q45*'Future EndUse Share'!P106</f>
        <v>0</v>
      </c>
      <c r="E43" s="56">
        <f t="shared" si="5"/>
        <v>0</v>
      </c>
      <c r="F43">
        <f t="shared" si="13"/>
        <v>0</v>
      </c>
      <c r="G43">
        <f t="shared" si="13"/>
        <v>0</v>
      </c>
      <c r="K43">
        <v>2044</v>
      </c>
      <c r="L43" s="56">
        <f>'Future Type Share'!U45*'Future EndUse Share'!Y106</f>
        <v>3013.5096398179517</v>
      </c>
      <c r="M43" s="56">
        <f>'Future Type Share'!S45*0.5*'Future EndUse Share'!N106</f>
        <v>0</v>
      </c>
      <c r="N43" s="56">
        <f>'Future Type Share'!Q45*'Future EndUse Share'!N106</f>
        <v>0</v>
      </c>
      <c r="O43" s="56">
        <f t="shared" si="14"/>
        <v>0</v>
      </c>
      <c r="P43" s="56">
        <f t="shared" si="14"/>
        <v>0</v>
      </c>
      <c r="Q43" s="56">
        <f t="shared" si="14"/>
        <v>0</v>
      </c>
      <c r="U43">
        <v>2044</v>
      </c>
      <c r="V43" s="56">
        <f t="shared" si="12"/>
        <v>0</v>
      </c>
      <c r="W43" s="56">
        <f t="shared" si="12"/>
        <v>0</v>
      </c>
      <c r="X43" s="56">
        <f t="shared" si="12"/>
        <v>0</v>
      </c>
      <c r="Y43" s="56">
        <f t="shared" si="12"/>
        <v>0</v>
      </c>
      <c r="Z43" s="56">
        <f t="shared" si="12"/>
        <v>0</v>
      </c>
      <c r="AA43" s="56">
        <f t="shared" si="7"/>
        <v>0</v>
      </c>
      <c r="AE43">
        <v>2044</v>
      </c>
      <c r="AF43" s="56">
        <f>'Future Type Share'!U45*('Future EndUse Share'!Z106+'Future EndUse Share'!AB106+'Future EndUse Share'!AC106+'Future EndUse Share'!AD106)</f>
        <v>20060.630655607038</v>
      </c>
      <c r="AG43" s="56">
        <f>'Future Type Share'!S45*0.5*('Future EndUse Share'!O106+'Future EndUse Share'!Q106+'Future EndUse Share'!R106+'Future EndUse Share'!S106)</f>
        <v>0</v>
      </c>
      <c r="AH43" s="56">
        <f>'Future Type Share'!Q45*('Future EndUse Share'!O106+'Future EndUse Share'!Q106+'Future EndUse Share'!R106+'Future EndUse Share'!S106)</f>
        <v>5932.3056558425751</v>
      </c>
      <c r="AI43">
        <f t="shared" si="3"/>
        <v>0</v>
      </c>
      <c r="AJ43">
        <f t="shared" si="15"/>
        <v>0</v>
      </c>
      <c r="AK43">
        <f t="shared" si="15"/>
        <v>0</v>
      </c>
      <c r="AO43">
        <v>2044</v>
      </c>
      <c r="AP43" s="56">
        <f>'Future Type Share'!U45*('Future EndUse Share'!AE106)</f>
        <v>2724.7741055113579</v>
      </c>
      <c r="AQ43" s="56">
        <f>'Future Type Share'!S45*0.5*('Future EndUse Share'!T106)</f>
        <v>0</v>
      </c>
      <c r="AR43" s="56">
        <f>'Future Type Share'!Q45*'Future EndUse Share'!T106</f>
        <v>41.401466415906484</v>
      </c>
      <c r="AS43">
        <f t="shared" si="4"/>
        <v>0</v>
      </c>
      <c r="AT43">
        <f t="shared" si="16"/>
        <v>0</v>
      </c>
      <c r="AU43">
        <f t="shared" si="16"/>
        <v>0</v>
      </c>
    </row>
    <row r="44" spans="1:47">
      <c r="A44">
        <v>2045</v>
      </c>
      <c r="B44" s="56">
        <f>'Future Type Share'!U46*'Future EndUse Share'!AA107</f>
        <v>1239.923417467865</v>
      </c>
      <c r="C44" s="56">
        <f>'Future Type Share'!Q46*0.5*'Future EndUse Share'!P107</f>
        <v>0</v>
      </c>
      <c r="D44" s="56">
        <f>'Future Type Share'!Q46*'Future EndUse Share'!P107</f>
        <v>0</v>
      </c>
      <c r="E44" s="56">
        <f t="shared" si="5"/>
        <v>0</v>
      </c>
      <c r="F44">
        <f t="shared" si="13"/>
        <v>0</v>
      </c>
      <c r="G44">
        <f t="shared" si="13"/>
        <v>0</v>
      </c>
      <c r="K44">
        <v>2045</v>
      </c>
      <c r="L44" s="56">
        <f>'Future Type Share'!U46*'Future EndUse Share'!Y107</f>
        <v>2927.920024306467</v>
      </c>
      <c r="M44" s="56">
        <f>'Future Type Share'!S46*0.5*'Future EndUse Share'!N107</f>
        <v>0</v>
      </c>
      <c r="N44" s="56">
        <f>'Future Type Share'!Q46*'Future EndUse Share'!N107</f>
        <v>0</v>
      </c>
      <c r="O44" s="56">
        <f t="shared" si="14"/>
        <v>0</v>
      </c>
      <c r="P44" s="56">
        <f t="shared" si="14"/>
        <v>0</v>
      </c>
      <c r="Q44" s="56">
        <f t="shared" si="14"/>
        <v>0</v>
      </c>
      <c r="U44">
        <v>2045</v>
      </c>
      <c r="V44" s="56">
        <f t="shared" si="12"/>
        <v>0</v>
      </c>
      <c r="W44" s="56">
        <f t="shared" si="12"/>
        <v>0</v>
      </c>
      <c r="X44" s="56">
        <f t="shared" si="12"/>
        <v>0</v>
      </c>
      <c r="Y44" s="56">
        <f t="shared" si="12"/>
        <v>0</v>
      </c>
      <c r="Z44" s="56">
        <f t="shared" si="12"/>
        <v>0</v>
      </c>
      <c r="AA44" s="56">
        <f t="shared" si="7"/>
        <v>0</v>
      </c>
      <c r="AE44">
        <v>2045</v>
      </c>
      <c r="AF44" s="56">
        <f>'Future Type Share'!U46*('Future EndUse Share'!Z107+'Future EndUse Share'!AB107+'Future EndUse Share'!AC107+'Future EndUse Share'!AD107)</f>
        <v>20761.890192044786</v>
      </c>
      <c r="AG44" s="56">
        <f>'Future Type Share'!S46*0.5*('Future EndUse Share'!O107+'Future EndUse Share'!Q107+'Future EndUse Share'!R107+'Future EndUse Share'!S107)</f>
        <v>0</v>
      </c>
      <c r="AH44" s="56">
        <f>'Future Type Share'!Q46*('Future EndUse Share'!O107+'Future EndUse Share'!Q107+'Future EndUse Share'!R107+'Future EndUse Share'!S107)</f>
        <v>5914.9283042327406</v>
      </c>
      <c r="AI44">
        <f t="shared" si="3"/>
        <v>0</v>
      </c>
      <c r="AJ44">
        <f t="shared" si="15"/>
        <v>0</v>
      </c>
      <c r="AK44">
        <f t="shared" si="15"/>
        <v>0</v>
      </c>
      <c r="AO44">
        <v>2045</v>
      </c>
      <c r="AP44" s="56">
        <f>'Future Type Share'!U46*('Future EndUse Share'!AE107)</f>
        <v>2785.2632393608428</v>
      </c>
      <c r="AQ44" s="56">
        <f>'Future Type Share'!S46*0.5*('Future EndUse Share'!T107)</f>
        <v>0</v>
      </c>
      <c r="AR44" s="56">
        <f>'Future Type Share'!Q46*'Future EndUse Share'!T107</f>
        <v>41.928766145908014</v>
      </c>
      <c r="AS44">
        <f t="shared" si="4"/>
        <v>0</v>
      </c>
      <c r="AT44">
        <f t="shared" si="16"/>
        <v>0</v>
      </c>
      <c r="AU44">
        <f t="shared" si="16"/>
        <v>0</v>
      </c>
    </row>
    <row r="45" spans="1:47">
      <c r="A45">
        <v>2046</v>
      </c>
      <c r="B45" s="56">
        <f>'Future Type Share'!U47*'Future EndUse Share'!AA108</f>
        <v>1264.8748145330621</v>
      </c>
      <c r="C45" s="56">
        <f>'Future Type Share'!Q47*0.5*'Future EndUse Share'!P108</f>
        <v>0</v>
      </c>
      <c r="D45" s="56">
        <f>'Future Type Share'!Q47*'Future EndUse Share'!P108</f>
        <v>0</v>
      </c>
      <c r="E45" s="56">
        <f t="shared" si="5"/>
        <v>0</v>
      </c>
      <c r="F45">
        <f t="shared" si="13"/>
        <v>0</v>
      </c>
      <c r="G45">
        <f t="shared" si="13"/>
        <v>0</v>
      </c>
      <c r="K45">
        <v>2046</v>
      </c>
      <c r="L45" s="56">
        <f>'Future Type Share'!U47*'Future EndUse Share'!Y108</f>
        <v>2835.736315615899</v>
      </c>
      <c r="M45" s="56">
        <f>'Future Type Share'!S47*0.5*'Future EndUse Share'!N108</f>
        <v>0</v>
      </c>
      <c r="N45" s="56">
        <f>'Future Type Share'!Q47*'Future EndUse Share'!N108</f>
        <v>0</v>
      </c>
      <c r="O45" s="56">
        <f t="shared" si="14"/>
        <v>0</v>
      </c>
      <c r="P45" s="56">
        <f t="shared" si="14"/>
        <v>0</v>
      </c>
      <c r="Q45" s="56">
        <f t="shared" si="14"/>
        <v>0</v>
      </c>
      <c r="U45">
        <v>2046</v>
      </c>
      <c r="V45" s="56">
        <f t="shared" si="12"/>
        <v>0</v>
      </c>
      <c r="W45" s="56">
        <f t="shared" si="12"/>
        <v>0</v>
      </c>
      <c r="X45" s="56">
        <f t="shared" si="12"/>
        <v>0</v>
      </c>
      <c r="Y45" s="56">
        <f t="shared" si="12"/>
        <v>0</v>
      </c>
      <c r="Z45" s="56">
        <f t="shared" si="12"/>
        <v>0</v>
      </c>
      <c r="AA45" s="56">
        <f t="shared" si="7"/>
        <v>0</v>
      </c>
      <c r="AE45">
        <v>2046</v>
      </c>
      <c r="AF45" s="56">
        <f>'Future Type Share'!U47*('Future EndUse Share'!Z108+'Future EndUse Share'!AB108+'Future EndUse Share'!AC108+'Future EndUse Share'!AD108)</f>
        <v>21470.376819056044</v>
      </c>
      <c r="AG45" s="56">
        <f>'Future Type Share'!S47*0.5*('Future EndUse Share'!O108+'Future EndUse Share'!Q108+'Future EndUse Share'!R108+'Future EndUse Share'!S108)</f>
        <v>0</v>
      </c>
      <c r="AH45" s="56">
        <f>'Future Type Share'!Q47*('Future EndUse Share'!O108+'Future EndUse Share'!Q108+'Future EndUse Share'!R108+'Future EndUse Share'!S108)</f>
        <v>5890.6828275404951</v>
      </c>
      <c r="AI45">
        <f t="shared" si="3"/>
        <v>0</v>
      </c>
      <c r="AJ45">
        <f t="shared" si="15"/>
        <v>0</v>
      </c>
      <c r="AK45">
        <f t="shared" si="15"/>
        <v>0</v>
      </c>
      <c r="AO45">
        <v>2046</v>
      </c>
      <c r="AP45" s="56">
        <f>'Future Type Share'!U47*('Future EndUse Share'!AE108)</f>
        <v>2845.3702818150082</v>
      </c>
      <c r="AQ45" s="56">
        <f>'Future Type Share'!S47*0.5*('Future EndUse Share'!T108)</f>
        <v>0</v>
      </c>
      <c r="AR45" s="56">
        <f>'Future Type Share'!Q47*'Future EndUse Share'!T108</f>
        <v>42.402956958193791</v>
      </c>
      <c r="AS45">
        <f t="shared" si="4"/>
        <v>0</v>
      </c>
      <c r="AT45">
        <f t="shared" si="16"/>
        <v>0</v>
      </c>
      <c r="AU45">
        <f t="shared" si="16"/>
        <v>0</v>
      </c>
    </row>
    <row r="46" spans="1:47">
      <c r="A46">
        <v>2047</v>
      </c>
      <c r="B46" s="56">
        <f>'Future Type Share'!U48*'Future EndUse Share'!AA109</f>
        <v>1314.5532657340859</v>
      </c>
      <c r="C46" s="56">
        <f>'Future Type Share'!Q48*0.5*'Future EndUse Share'!P109</f>
        <v>0</v>
      </c>
      <c r="D46" s="56">
        <f>'Future Type Share'!Q48*'Future EndUse Share'!P109</f>
        <v>0</v>
      </c>
      <c r="E46" s="56">
        <f t="shared" si="5"/>
        <v>0</v>
      </c>
      <c r="F46">
        <f t="shared" si="13"/>
        <v>0</v>
      </c>
      <c r="G46">
        <f t="shared" si="13"/>
        <v>0</v>
      </c>
      <c r="K46">
        <v>2047</v>
      </c>
      <c r="L46" s="56">
        <f>'Future Type Share'!U48*'Future EndUse Share'!Y109</f>
        <v>2790.0730953835118</v>
      </c>
      <c r="M46" s="56">
        <f>'Future Type Share'!S48*0.5*'Future EndUse Share'!N109</f>
        <v>0</v>
      </c>
      <c r="N46" s="56">
        <f>'Future Type Share'!Q48*'Future EndUse Share'!N109</f>
        <v>0</v>
      </c>
      <c r="O46" s="56">
        <f t="shared" si="14"/>
        <v>0</v>
      </c>
      <c r="P46" s="56">
        <f t="shared" si="14"/>
        <v>0</v>
      </c>
      <c r="Q46" s="56">
        <f t="shared" si="14"/>
        <v>0</v>
      </c>
      <c r="U46">
        <v>2047</v>
      </c>
      <c r="V46" s="56">
        <f t="shared" si="12"/>
        <v>0</v>
      </c>
      <c r="W46" s="56">
        <f t="shared" si="12"/>
        <v>0</v>
      </c>
      <c r="X46" s="56">
        <f t="shared" si="12"/>
        <v>0</v>
      </c>
      <c r="Y46" s="56">
        <f t="shared" si="12"/>
        <v>0</v>
      </c>
      <c r="Z46" s="56">
        <f t="shared" si="12"/>
        <v>0</v>
      </c>
      <c r="AA46" s="56">
        <f t="shared" si="7"/>
        <v>0</v>
      </c>
      <c r="AE46">
        <v>2047</v>
      </c>
      <c r="AF46" s="56">
        <f>'Future Type Share'!U48*('Future EndUse Share'!Z109+'Future EndUse Share'!AB109+'Future EndUse Share'!AC109+'Future EndUse Share'!AD109)</f>
        <v>22615.706949932264</v>
      </c>
      <c r="AG46" s="56">
        <f>'Future Type Share'!S48*0.5*('Future EndUse Share'!O109+'Future EndUse Share'!Q109+'Future EndUse Share'!R109+'Future EndUse Share'!S109)</f>
        <v>0</v>
      </c>
      <c r="AH46" s="56">
        <f>'Future Type Share'!Q48*('Future EndUse Share'!O109+'Future EndUse Share'!Q109+'Future EndUse Share'!R109+'Future EndUse Share'!S109)</f>
        <v>5973.1732744630217</v>
      </c>
      <c r="AI46">
        <f t="shared" si="3"/>
        <v>0</v>
      </c>
      <c r="AJ46">
        <f t="shared" si="15"/>
        <v>0</v>
      </c>
      <c r="AK46">
        <f t="shared" si="15"/>
        <v>0</v>
      </c>
      <c r="AO46">
        <v>2047</v>
      </c>
      <c r="AP46" s="56">
        <f>'Future Type Share'!U48*('Future EndUse Share'!AE109)</f>
        <v>2961.3732313691944</v>
      </c>
      <c r="AQ46" s="56">
        <f>'Future Type Share'!S48*0.5*('Future EndUse Share'!T109)</f>
        <v>0</v>
      </c>
      <c r="AR46" s="56">
        <f>'Future Type Share'!Q48*'Future EndUse Share'!T109</f>
        <v>43.651996654946842</v>
      </c>
      <c r="AS46">
        <f t="shared" si="4"/>
        <v>0</v>
      </c>
      <c r="AT46">
        <f t="shared" si="16"/>
        <v>0</v>
      </c>
      <c r="AU46">
        <f t="shared" si="16"/>
        <v>0</v>
      </c>
    </row>
    <row r="47" spans="1:47">
      <c r="A47">
        <v>2048</v>
      </c>
      <c r="B47" s="56">
        <f>'Future Type Share'!U49*'Future EndUse Share'!AA110</f>
        <v>1346.3418008611086</v>
      </c>
      <c r="C47" s="56">
        <f>'Future Type Share'!Q49*0.5*'Future EndUse Share'!P110</f>
        <v>0</v>
      </c>
      <c r="D47" s="56">
        <f>'Future Type Share'!Q49*'Future EndUse Share'!P110</f>
        <v>0</v>
      </c>
      <c r="E47" s="56">
        <f t="shared" si="5"/>
        <v>0</v>
      </c>
      <c r="F47">
        <f t="shared" si="13"/>
        <v>0</v>
      </c>
      <c r="G47">
        <f t="shared" si="13"/>
        <v>0</v>
      </c>
      <c r="K47">
        <v>2048</v>
      </c>
      <c r="L47" s="56">
        <f>'Future Type Share'!U49*'Future EndUse Share'!Y110</f>
        <v>2696.7073003858118</v>
      </c>
      <c r="M47" s="56">
        <f>'Future Type Share'!S49*0.5*'Future EndUse Share'!N110</f>
        <v>0</v>
      </c>
      <c r="N47" s="56">
        <f>'Future Type Share'!Q49*'Future EndUse Share'!N110</f>
        <v>0</v>
      </c>
      <c r="O47" s="56">
        <f t="shared" si="14"/>
        <v>0</v>
      </c>
      <c r="P47" s="56">
        <f t="shared" si="14"/>
        <v>0</v>
      </c>
      <c r="Q47" s="56">
        <f t="shared" si="14"/>
        <v>0</v>
      </c>
      <c r="U47">
        <v>2048</v>
      </c>
      <c r="V47" s="56">
        <f t="shared" si="12"/>
        <v>0</v>
      </c>
      <c r="W47" s="56">
        <f t="shared" si="12"/>
        <v>0</v>
      </c>
      <c r="X47" s="56">
        <f t="shared" si="12"/>
        <v>0</v>
      </c>
      <c r="Y47" s="56">
        <f t="shared" si="12"/>
        <v>0</v>
      </c>
      <c r="Z47" s="56">
        <f t="shared" si="12"/>
        <v>0</v>
      </c>
      <c r="AA47" s="56">
        <f t="shared" si="7"/>
        <v>0</v>
      </c>
      <c r="AE47">
        <v>2048</v>
      </c>
      <c r="AF47" s="56">
        <f>'Future Type Share'!U49*('Future EndUse Share'!Z110+'Future EndUse Share'!AB110+'Future EndUse Share'!AC110+'Future EndUse Share'!AD110)</f>
        <v>23471.944490295431</v>
      </c>
      <c r="AG47" s="56">
        <f>'Future Type Share'!S49*0.5*('Future EndUse Share'!O110+'Future EndUse Share'!Q110+'Future EndUse Share'!R110+'Future EndUse Share'!S110)</f>
        <v>0</v>
      </c>
      <c r="AH47" s="56">
        <f>'Future Type Share'!Q49*('Future EndUse Share'!O110+'Future EndUse Share'!Q110+'Future EndUse Share'!R110+'Future EndUse Share'!S110)</f>
        <v>5965.1812970654964</v>
      </c>
      <c r="AI47">
        <f t="shared" si="3"/>
        <v>0</v>
      </c>
      <c r="AJ47">
        <f t="shared" si="15"/>
        <v>0</v>
      </c>
      <c r="AK47">
        <f t="shared" si="15"/>
        <v>0</v>
      </c>
      <c r="AO47">
        <v>2048</v>
      </c>
      <c r="AP47" s="56">
        <f>'Future Type Share'!U49*('Future EndUse Share'!AE110)</f>
        <v>3037.3709349732553</v>
      </c>
      <c r="AQ47" s="56">
        <f>'Future Type Share'!S49*0.5*('Future EndUse Share'!T110)</f>
        <v>0</v>
      </c>
      <c r="AR47" s="56">
        <f>'Future Type Share'!Q49*'Future EndUse Share'!T110</f>
        <v>44.248105016769884</v>
      </c>
      <c r="AS47">
        <f t="shared" si="4"/>
        <v>0</v>
      </c>
      <c r="AT47">
        <f t="shared" si="16"/>
        <v>0</v>
      </c>
      <c r="AU47">
        <f t="shared" si="16"/>
        <v>0</v>
      </c>
    </row>
    <row r="48" spans="1:47">
      <c r="A48">
        <v>2049</v>
      </c>
      <c r="B48" s="56">
        <f>'Future Type Share'!U50*'Future EndUse Share'!AA111</f>
        <v>1378.7447954416846</v>
      </c>
      <c r="C48" s="56">
        <f>'Future Type Share'!Q50*0.5*'Future EndUse Share'!P111</f>
        <v>0</v>
      </c>
      <c r="D48" s="56">
        <f>'Future Type Share'!Q50*'Future EndUse Share'!P111</f>
        <v>0</v>
      </c>
      <c r="E48" s="56">
        <f t="shared" si="5"/>
        <v>0</v>
      </c>
      <c r="F48">
        <f t="shared" si="13"/>
        <v>0</v>
      </c>
      <c r="G48">
        <f t="shared" si="13"/>
        <v>0</v>
      </c>
      <c r="K48">
        <v>2049</v>
      </c>
      <c r="L48" s="56">
        <f>'Future Type Share'!U50*'Future EndUse Share'!Y111</f>
        <v>2596.9038753081177</v>
      </c>
      <c r="M48" s="56">
        <f>'Future Type Share'!S50*0.5*'Future EndUse Share'!N111</f>
        <v>0</v>
      </c>
      <c r="N48" s="56">
        <f>'Future Type Share'!Q50*'Future EndUse Share'!N111</f>
        <v>0</v>
      </c>
      <c r="O48" s="56">
        <f t="shared" si="14"/>
        <v>0</v>
      </c>
      <c r="P48" s="56">
        <f t="shared" si="14"/>
        <v>0</v>
      </c>
      <c r="Q48" s="56">
        <f t="shared" si="14"/>
        <v>0</v>
      </c>
      <c r="U48">
        <v>2049</v>
      </c>
      <c r="V48" s="56">
        <f t="shared" ref="V48:Z49" si="17">V47</f>
        <v>0</v>
      </c>
      <c r="W48" s="56">
        <f t="shared" si="17"/>
        <v>0</v>
      </c>
      <c r="X48" s="56">
        <f t="shared" si="17"/>
        <v>0</v>
      </c>
      <c r="Y48" s="56">
        <f t="shared" si="17"/>
        <v>0</v>
      </c>
      <c r="Z48" s="56">
        <f t="shared" si="17"/>
        <v>0</v>
      </c>
      <c r="AA48" s="56">
        <f t="shared" si="7"/>
        <v>0</v>
      </c>
      <c r="AE48">
        <v>2049</v>
      </c>
      <c r="AF48" s="56">
        <f>'Future Type Share'!U50*('Future EndUse Share'!Z111+'Future EndUse Share'!AB111+'Future EndUse Share'!AC111+'Future EndUse Share'!AD111)</f>
        <v>24353.60964574293</v>
      </c>
      <c r="AG48" s="56">
        <f>'Future Type Share'!S50*0.5*('Future EndUse Share'!O111+'Future EndUse Share'!Q111+'Future EndUse Share'!R111+'Future EndUse Share'!S111)</f>
        <v>0</v>
      </c>
      <c r="AH48" s="56">
        <f>'Future Type Share'!Q50*('Future EndUse Share'!O111+'Future EndUse Share'!Q111+'Future EndUse Share'!R111+'Future EndUse Share'!S111)</f>
        <v>5952.6777561209083</v>
      </c>
      <c r="AI48">
        <f t="shared" si="3"/>
        <v>0</v>
      </c>
      <c r="AJ48">
        <f t="shared" si="15"/>
        <v>0</v>
      </c>
      <c r="AK48">
        <f t="shared" si="15"/>
        <v>0</v>
      </c>
      <c r="AO48">
        <v>2049</v>
      </c>
      <c r="AP48" s="56">
        <f>'Future Type Share'!U50*('Future EndUse Share'!AE111)</f>
        <v>3114.9978352794878</v>
      </c>
      <c r="AQ48" s="56">
        <f>'Future Type Share'!S50*0.5*('Future EndUse Share'!T111)</f>
        <v>0</v>
      </c>
      <c r="AR48" s="56">
        <f>'Future Type Share'!Q50*'Future EndUse Share'!T111</f>
        <v>44.808641305220519</v>
      </c>
      <c r="AS48">
        <f t="shared" si="4"/>
        <v>0</v>
      </c>
      <c r="AT48">
        <f t="shared" si="16"/>
        <v>0</v>
      </c>
      <c r="AU48">
        <f t="shared" si="16"/>
        <v>0</v>
      </c>
    </row>
    <row r="49" spans="1:47">
      <c r="A49">
        <v>2050</v>
      </c>
      <c r="B49" s="56">
        <f>'Future Type Share'!U51*'Future EndUse Share'!AA112</f>
        <v>1411.7725687733143</v>
      </c>
      <c r="C49" s="56">
        <f>'Future Type Share'!Q51*0.5*'Future EndUse Share'!P112</f>
        <v>0</v>
      </c>
      <c r="D49" s="56">
        <f>'Future Type Share'!Q51*'Future EndUse Share'!P112</f>
        <v>0</v>
      </c>
      <c r="E49" s="56">
        <f t="shared" si="5"/>
        <v>0</v>
      </c>
      <c r="F49">
        <f t="shared" ref="F49:G49" si="18">F48</f>
        <v>0</v>
      </c>
      <c r="G49">
        <f t="shared" si="18"/>
        <v>0</v>
      </c>
      <c r="K49">
        <v>2050</v>
      </c>
      <c r="L49" s="56">
        <f>'Future Type Share'!U51*'Future EndUse Share'!Y112</f>
        <v>2490.4608122261188</v>
      </c>
      <c r="M49" s="56">
        <f>'Future Type Share'!S51*0.5*'Future EndUse Share'!N112</f>
        <v>0</v>
      </c>
      <c r="N49" s="56">
        <f>'Future Type Share'!Q51*'Future EndUse Share'!N112</f>
        <v>0</v>
      </c>
      <c r="O49" s="56">
        <f t="shared" ref="O49:Q49" si="19">O48</f>
        <v>0</v>
      </c>
      <c r="P49" s="56">
        <f t="shared" si="19"/>
        <v>0</v>
      </c>
      <c r="Q49" s="56">
        <f t="shared" si="19"/>
        <v>0</v>
      </c>
      <c r="U49">
        <v>2050</v>
      </c>
      <c r="V49" s="56">
        <f t="shared" si="17"/>
        <v>0</v>
      </c>
      <c r="W49" s="56">
        <f t="shared" si="17"/>
        <v>0</v>
      </c>
      <c r="X49" s="56">
        <f t="shared" si="17"/>
        <v>0</v>
      </c>
      <c r="Y49" s="56">
        <f t="shared" si="17"/>
        <v>0</v>
      </c>
      <c r="Z49" s="56">
        <f t="shared" si="17"/>
        <v>0</v>
      </c>
      <c r="AA49" s="56">
        <f t="shared" si="7"/>
        <v>0</v>
      </c>
      <c r="AE49">
        <v>2050</v>
      </c>
      <c r="AF49" s="56">
        <f>'Future Type Share'!U51*('Future EndUse Share'!Z112+'Future EndUse Share'!AB112+'Future EndUse Share'!AC112+'Future EndUse Share'!AD112)</f>
        <v>25261.30817710068</v>
      </c>
      <c r="AG49" s="56">
        <f>'Future Type Share'!S51*0.5*('Future EndUse Share'!O112+'Future EndUse Share'!Q112+'Future EndUse Share'!R112+'Future EndUse Share'!S112)</f>
        <v>0</v>
      </c>
      <c r="AH49" s="56">
        <f>'Future Type Share'!Q51*('Future EndUse Share'!O112+'Future EndUse Share'!Q112+'Future EndUse Share'!R112+'Future EndUse Share'!S112)</f>
        <v>5935.4997587699499</v>
      </c>
      <c r="AI49">
        <f t="shared" si="3"/>
        <v>0</v>
      </c>
      <c r="AJ49">
        <f t="shared" ref="AJ49:AK49" si="20">AJ48</f>
        <v>0</v>
      </c>
      <c r="AK49">
        <f t="shared" si="20"/>
        <v>0</v>
      </c>
      <c r="AO49">
        <v>2050</v>
      </c>
      <c r="AP49" s="56">
        <f>'Future Type Share'!U51*('Future EndUse Share'!AE112)</f>
        <v>3194.2857181842614</v>
      </c>
      <c r="AQ49" s="56">
        <f>'Future Type Share'!S51*0.5*('Future EndUse Share'!T112)</f>
        <v>0</v>
      </c>
      <c r="AR49" s="56">
        <f>'Future Type Share'!Q51*'Future EndUse Share'!T112</f>
        <v>45.330875235204651</v>
      </c>
      <c r="AS49">
        <f t="shared" si="4"/>
        <v>0</v>
      </c>
      <c r="AT49">
        <f t="shared" ref="AT49:AU49" si="21">AT48</f>
        <v>0</v>
      </c>
      <c r="AU49">
        <f t="shared" si="21"/>
        <v>0</v>
      </c>
    </row>
    <row r="60" spans="1:47">
      <c r="U60" s="56"/>
      <c r="V60" s="56"/>
    </row>
    <row r="61" spans="1:47">
      <c r="S61" s="511"/>
      <c r="T61" s="56"/>
      <c r="U61" s="56"/>
      <c r="V61" s="56"/>
    </row>
    <row r="62" spans="1:47">
      <c r="S62" s="511"/>
      <c r="T62" s="56"/>
      <c r="U62" s="56"/>
      <c r="V62" s="56"/>
    </row>
    <row r="63" spans="1:47">
      <c r="S63" s="511"/>
      <c r="T63" s="56"/>
      <c r="U63" s="56"/>
      <c r="V63" s="56"/>
    </row>
    <row r="64" spans="1:47">
      <c r="S64" s="511"/>
      <c r="T64" s="56"/>
    </row>
  </sheetData>
  <phoneticPr fontId="3"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U55"/>
  <sheetViews>
    <sheetView zoomScale="85" workbookViewId="0">
      <selection activeCell="I32" sqref="I32"/>
    </sheetView>
  </sheetViews>
  <sheetFormatPr defaultColWidth="8.7265625" defaultRowHeight="14.5"/>
  <cols>
    <col min="1" max="1" width="5.81640625" customWidth="1"/>
    <col min="2" max="2" width="11.26953125" customWidth="1"/>
    <col min="11" max="11" width="6.26953125" customWidth="1"/>
  </cols>
  <sheetData>
    <row r="1" spans="1:47" ht="21">
      <c r="A1" s="106" t="s">
        <v>968</v>
      </c>
    </row>
    <row r="2" spans="1:47" ht="21">
      <c r="A2" s="106"/>
      <c r="C2" t="s">
        <v>949</v>
      </c>
    </row>
    <row r="3" spans="1:47" s="58" customFormat="1">
      <c r="A3" s="155"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950</v>
      </c>
      <c r="C5">
        <f t="array" ref="C5:AU10">TRANSPOSE(Public_1!B5:G49)</f>
        <v>1911.1477561779245</v>
      </c>
      <c r="D5">
        <v>1850.1046096105729</v>
      </c>
      <c r="E5">
        <v>1740.2225788002036</v>
      </c>
      <c r="F5">
        <v>1781.1002550269741</v>
      </c>
      <c r="G5">
        <v>1014.6814336633663</v>
      </c>
      <c r="H5">
        <v>45.680981595092028</v>
      </c>
      <c r="I5">
        <v>1057.5617200674535</v>
      </c>
      <c r="J5">
        <v>885.31464939024409</v>
      </c>
      <c r="K5">
        <v>836.03331263307302</v>
      </c>
      <c r="L5">
        <v>743.98522613976252</v>
      </c>
      <c r="M5">
        <v>684.29512173209957</v>
      </c>
      <c r="N5">
        <v>624.24776870243204</v>
      </c>
      <c r="O5">
        <v>637.70426778526962</v>
      </c>
      <c r="P5">
        <v>640.1413916844657</v>
      </c>
      <c r="Q5">
        <v>679.3170047434179</v>
      </c>
      <c r="R5">
        <v>690.77291194006295</v>
      </c>
      <c r="S5">
        <v>687.39054983637277</v>
      </c>
      <c r="T5">
        <v>707.94556546931562</v>
      </c>
      <c r="U5">
        <v>728.45744782080294</v>
      </c>
      <c r="V5">
        <v>748.50438244749341</v>
      </c>
      <c r="W5">
        <v>769.35924776158083</v>
      </c>
      <c r="X5">
        <v>791.14999347645892</v>
      </c>
      <c r="Y5">
        <v>813.81269992104899</v>
      </c>
      <c r="Z5">
        <v>837.0477763549676</v>
      </c>
      <c r="AA5">
        <v>860.71495949095038</v>
      </c>
      <c r="AB5">
        <v>884.55885301737976</v>
      </c>
      <c r="AC5">
        <v>908.76365855792267</v>
      </c>
      <c r="AD5">
        <v>933.42388456175343</v>
      </c>
      <c r="AE5">
        <v>958.59382325348861</v>
      </c>
      <c r="AF5">
        <v>984.44288924220541</v>
      </c>
      <c r="AG5">
        <v>1009.7823343117361</v>
      </c>
      <c r="AH5">
        <v>1035.6608199250468</v>
      </c>
      <c r="AI5">
        <v>1061.6040006627056</v>
      </c>
      <c r="AJ5">
        <v>1087.418653832965</v>
      </c>
      <c r="AK5">
        <v>1113.0741737098392</v>
      </c>
      <c r="AL5">
        <v>1138.580799633653</v>
      </c>
      <c r="AM5">
        <v>1163.9796525573192</v>
      </c>
      <c r="AN5">
        <v>1189.403920951956</v>
      </c>
      <c r="AO5">
        <v>1214.71700333287</v>
      </c>
      <c r="AP5">
        <v>1239.923417467865</v>
      </c>
      <c r="AQ5">
        <v>1264.8748145330621</v>
      </c>
      <c r="AR5">
        <v>1314.5532657340859</v>
      </c>
      <c r="AS5">
        <v>1346.3418008611086</v>
      </c>
      <c r="AT5">
        <v>1378.7447954416846</v>
      </c>
      <c r="AU5">
        <v>1411.7725687733143</v>
      </c>
    </row>
    <row r="6" spans="1:47">
      <c r="B6" t="s">
        <v>951</v>
      </c>
      <c r="C6">
        <v>0</v>
      </c>
      <c r="D6">
        <v>0</v>
      </c>
      <c r="E6">
        <v>0</v>
      </c>
      <c r="F6">
        <v>0</v>
      </c>
      <c r="G6">
        <v>0</v>
      </c>
      <c r="H6">
        <v>384.21052631578948</v>
      </c>
      <c r="I6">
        <v>0</v>
      </c>
      <c r="J6">
        <v>0</v>
      </c>
      <c r="K6">
        <v>0</v>
      </c>
      <c r="L6">
        <v>0</v>
      </c>
      <c r="M6">
        <v>0</v>
      </c>
      <c r="N6">
        <v>0.41367418757366498</v>
      </c>
      <c r="O6">
        <v>0.78873978570071046</v>
      </c>
      <c r="P6">
        <v>1.2301761110938301</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952</v>
      </c>
      <c r="C7">
        <v>0</v>
      </c>
      <c r="D7">
        <v>0</v>
      </c>
      <c r="E7">
        <v>0</v>
      </c>
      <c r="F7">
        <v>0</v>
      </c>
      <c r="G7">
        <v>0</v>
      </c>
      <c r="H7">
        <v>768.42105263157896</v>
      </c>
      <c r="I7">
        <v>0</v>
      </c>
      <c r="J7">
        <v>0</v>
      </c>
      <c r="K7">
        <v>0</v>
      </c>
      <c r="L7">
        <v>0</v>
      </c>
      <c r="M7">
        <v>0</v>
      </c>
      <c r="N7">
        <v>0.82734837514732995</v>
      </c>
      <c r="O7">
        <v>1.5774795714014209</v>
      </c>
      <c r="P7">
        <v>2.4603522221876601</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953</v>
      </c>
      <c r="C8">
        <v>0</v>
      </c>
      <c r="D8">
        <v>0</v>
      </c>
      <c r="E8">
        <v>0</v>
      </c>
      <c r="F8">
        <v>0</v>
      </c>
      <c r="G8">
        <v>0</v>
      </c>
      <c r="H8">
        <v>384.21052631578948</v>
      </c>
      <c r="I8">
        <v>0</v>
      </c>
      <c r="J8">
        <v>0</v>
      </c>
      <c r="K8">
        <v>0</v>
      </c>
      <c r="L8">
        <v>0</v>
      </c>
      <c r="M8">
        <v>0</v>
      </c>
      <c r="N8">
        <v>0.41367418757366498</v>
      </c>
      <c r="O8">
        <v>0.78873978570071046</v>
      </c>
      <c r="P8">
        <v>1.2301761110938301</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954</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955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8" customFormat="1">
      <c r="A12" s="108" t="s">
        <v>937</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950</v>
      </c>
      <c r="C14">
        <f t="array" ref="C14:AU19">TRANSPOSE(Public_1!L5:Q49)</f>
        <v>5435.9123110378914</v>
      </c>
      <c r="D14">
        <v>5372.7730705074746</v>
      </c>
      <c r="E14">
        <v>5178.9023945094059</v>
      </c>
      <c r="F14">
        <v>5545.4268464933793</v>
      </c>
      <c r="G14">
        <v>3075.116910891089</v>
      </c>
      <c r="H14">
        <v>3187.8799298860649</v>
      </c>
      <c r="I14">
        <v>3302.4272681281618</v>
      </c>
      <c r="J14">
        <v>3101.2905640243903</v>
      </c>
      <c r="K14">
        <v>3771.3193044712557</v>
      </c>
      <c r="L14">
        <v>3854.5110124172938</v>
      </c>
      <c r="M14">
        <v>4062.5293324948343</v>
      </c>
      <c r="N14">
        <v>4184.6503933543736</v>
      </c>
      <c r="O14">
        <v>4229.2816492026586</v>
      </c>
      <c r="P14">
        <v>4186.1300939092025</v>
      </c>
      <c r="Q14">
        <v>4712.2800329040983</v>
      </c>
      <c r="R14">
        <v>4874.8831214055872</v>
      </c>
      <c r="S14">
        <v>3511.8611599728151</v>
      </c>
      <c r="T14">
        <v>3532.30432506538</v>
      </c>
      <c r="U14">
        <v>3547.6263826798154</v>
      </c>
      <c r="V14">
        <v>3555.838922737817</v>
      </c>
      <c r="W14">
        <v>3563.0034412613259</v>
      </c>
      <c r="X14">
        <v>3569.4076564653665</v>
      </c>
      <c r="Y14">
        <v>3574.4354161280185</v>
      </c>
      <c r="Z14">
        <v>3576.4941485907129</v>
      </c>
      <c r="AA14">
        <v>3574.7961724771249</v>
      </c>
      <c r="AB14">
        <v>3568.1564038156666</v>
      </c>
      <c r="AC14">
        <v>3557.2325449635282</v>
      </c>
      <c r="AD14">
        <v>3542.2539016513415</v>
      </c>
      <c r="AE14">
        <v>3523.256806873384</v>
      </c>
      <c r="AF14">
        <v>3500.6610235137296</v>
      </c>
      <c r="AG14">
        <v>3470.1380058780646</v>
      </c>
      <c r="AH14">
        <v>3435.348866241618</v>
      </c>
      <c r="AI14">
        <v>3394.5836552774381</v>
      </c>
      <c r="AJ14">
        <v>3347.2244212857163</v>
      </c>
      <c r="AK14">
        <v>3293.2266739181396</v>
      </c>
      <c r="AL14">
        <v>3232.6765155456328</v>
      </c>
      <c r="AM14">
        <v>3165.7391461425022</v>
      </c>
      <c r="AN14">
        <v>3092.7995188671248</v>
      </c>
      <c r="AO14">
        <v>3013.5096398179517</v>
      </c>
      <c r="AP14">
        <v>2927.920024306467</v>
      </c>
      <c r="AQ14">
        <v>2835.736315615899</v>
      </c>
      <c r="AR14">
        <v>2790.0730953835118</v>
      </c>
      <c r="AS14">
        <v>2696.7073003858118</v>
      </c>
      <c r="AT14">
        <v>2596.9038753081177</v>
      </c>
      <c r="AU14">
        <v>2490.4608122261188</v>
      </c>
    </row>
    <row r="15" spans="1:47">
      <c r="B15" t="s">
        <v>951</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952</v>
      </c>
      <c r="C16">
        <v>0</v>
      </c>
      <c r="D16">
        <v>0</v>
      </c>
      <c r="E16">
        <v>0</v>
      </c>
      <c r="F16">
        <v>0</v>
      </c>
      <c r="G16">
        <v>0</v>
      </c>
      <c r="H16">
        <v>0</v>
      </c>
      <c r="I16">
        <v>0</v>
      </c>
      <c r="J16">
        <v>0</v>
      </c>
      <c r="K16">
        <v>0</v>
      </c>
      <c r="L16">
        <v>0</v>
      </c>
      <c r="M16">
        <v>0</v>
      </c>
      <c r="N16">
        <v>6.6187870011786396</v>
      </c>
      <c r="O16">
        <v>12.619836571211367</v>
      </c>
      <c r="P16">
        <v>16.402348147917731</v>
      </c>
      <c r="Q16">
        <v>0</v>
      </c>
      <c r="R16">
        <v>16.269156208550097</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953</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954</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955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8" customFormat="1">
      <c r="A21" s="108" t="s">
        <v>938</v>
      </c>
    </row>
    <row r="22" spans="1:47">
      <c r="B22" t="s">
        <v>557</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940</v>
      </c>
      <c r="C23">
        <f t="array" ref="C23:AU28">TRANSPOSE(Public_1!V5:AA49)</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941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942</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943</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944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945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8" customFormat="1">
      <c r="A30" s="108" t="s">
        <v>939</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950</v>
      </c>
      <c r="C32">
        <f t="array" ref="C32:AU37">TRANSPOSE(Public_1!AF5:AK49)</f>
        <v>8152.7825871499181</v>
      </c>
      <c r="D32">
        <v>8630.2129595175484</v>
      </c>
      <c r="E32">
        <v>8899.2305414336552</v>
      </c>
      <c r="F32">
        <v>9210.8637959784228</v>
      </c>
      <c r="G32">
        <v>5739.8610772277234</v>
      </c>
      <c r="H32">
        <v>6066.8694127957933</v>
      </c>
      <c r="I32">
        <v>6215.6282124789195</v>
      </c>
      <c r="J32">
        <v>6213.3382926829272</v>
      </c>
      <c r="K32">
        <v>6319.3330908445705</v>
      </c>
      <c r="L32">
        <v>5975.5687483005522</v>
      </c>
      <c r="M32">
        <v>5884.0732189381006</v>
      </c>
      <c r="N32">
        <v>5526.235510302583</v>
      </c>
      <c r="O32">
        <v>5636.0482821867135</v>
      </c>
      <c r="P32">
        <v>5627.5443577192582</v>
      </c>
      <c r="Q32">
        <v>5982.8340417759046</v>
      </c>
      <c r="R32">
        <v>6065.644045797505</v>
      </c>
      <c r="S32">
        <v>7871.9653491929212</v>
      </c>
      <c r="T32">
        <v>8270.4573398658649</v>
      </c>
      <c r="U32">
        <v>8677.8885580841852</v>
      </c>
      <c r="V32">
        <v>9089.1055823444676</v>
      </c>
      <c r="W32">
        <v>9519.5354033813255</v>
      </c>
      <c r="X32">
        <v>9971.3473292166545</v>
      </c>
      <c r="Y32">
        <v>10444.365967845066</v>
      </c>
      <c r="Z32">
        <v>10935.278092594164</v>
      </c>
      <c r="AA32">
        <v>11442.612623565188</v>
      </c>
      <c r="AB32">
        <v>11963.212134960186</v>
      </c>
      <c r="AC32">
        <v>12499.730527640431</v>
      </c>
      <c r="AD32">
        <v>13053.736901167902</v>
      </c>
      <c r="AE32">
        <v>13626.315621814476</v>
      </c>
      <c r="AF32">
        <v>14220.263897486517</v>
      </c>
      <c r="AG32">
        <v>14818.603660070174</v>
      </c>
      <c r="AH32">
        <v>15436.61169795133</v>
      </c>
      <c r="AI32">
        <v>16067.478838322062</v>
      </c>
      <c r="AJ32">
        <v>16708.278928970281</v>
      </c>
      <c r="AK32">
        <v>17358.444091053723</v>
      </c>
      <c r="AL32">
        <v>18018.024687512505</v>
      </c>
      <c r="AM32">
        <v>18687.57632258931</v>
      </c>
      <c r="AN32">
        <v>19369.191735644388</v>
      </c>
      <c r="AO32">
        <v>20060.630655607038</v>
      </c>
      <c r="AP32">
        <v>20761.890192044786</v>
      </c>
      <c r="AQ32">
        <v>21470.376819056044</v>
      </c>
      <c r="AR32">
        <v>22615.706949932264</v>
      </c>
      <c r="AS32">
        <v>23471.944490295431</v>
      </c>
      <c r="AT32">
        <v>24353.60964574293</v>
      </c>
      <c r="AU32">
        <v>25261.30817710068</v>
      </c>
    </row>
    <row r="33" spans="1:47">
      <c r="B33" t="s">
        <v>951</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952</v>
      </c>
      <c r="C34">
        <v>8447.1683333333349</v>
      </c>
      <c r="D34">
        <v>8270.3520056261732</v>
      </c>
      <c r="E34">
        <v>8382.0275533326549</v>
      </c>
      <c r="F34">
        <v>8303.2832472324717</v>
      </c>
      <c r="G34">
        <v>5493.0945009914085</v>
      </c>
      <c r="H34">
        <v>5235.5087719298244</v>
      </c>
      <c r="I34">
        <v>5210.7278197674414</v>
      </c>
      <c r="J34">
        <v>5295.0123379174847</v>
      </c>
      <c r="K34">
        <v>5190.7931628135766</v>
      </c>
      <c r="L34">
        <v>5072.1349166245582</v>
      </c>
      <c r="M34">
        <v>5136.5728668097045</v>
      </c>
      <c r="N34">
        <v>4902.0391227479295</v>
      </c>
      <c r="O34">
        <v>4900.4402885585141</v>
      </c>
      <c r="P34">
        <v>4795.22648104375</v>
      </c>
      <c r="Q34">
        <v>5134.5153954415337</v>
      </c>
      <c r="R34">
        <v>5054.8268339965161</v>
      </c>
      <c r="S34">
        <v>5074.5974556500596</v>
      </c>
      <c r="T34">
        <v>5145.753429101771</v>
      </c>
      <c r="U34">
        <v>5211.9388920864803</v>
      </c>
      <c r="V34">
        <v>5270.2000983004282</v>
      </c>
      <c r="W34">
        <v>5329.5147380460794</v>
      </c>
      <c r="X34">
        <v>5390.4803942040517</v>
      </c>
      <c r="Y34">
        <v>5452.3510913840128</v>
      </c>
      <c r="Z34">
        <v>5512.8579128948677</v>
      </c>
      <c r="AA34">
        <v>5570.8995135972664</v>
      </c>
      <c r="AB34">
        <v>5624.7062859672105</v>
      </c>
      <c r="AC34">
        <v>5675.3701106570252</v>
      </c>
      <c r="AD34">
        <v>5723.3492408256734</v>
      </c>
      <c r="AE34">
        <v>5768.8170299449521</v>
      </c>
      <c r="AF34">
        <v>5812.6019763156464</v>
      </c>
      <c r="AG34">
        <v>5847.590686090387</v>
      </c>
      <c r="AH34">
        <v>5879.9123001103908</v>
      </c>
      <c r="AI34">
        <v>5906.745945061818</v>
      </c>
      <c r="AJ34">
        <v>5927.0183419899904</v>
      </c>
      <c r="AK34">
        <v>5940.6117878867635</v>
      </c>
      <c r="AL34">
        <v>5947.6358062920199</v>
      </c>
      <c r="AM34">
        <v>5948.3530701000527</v>
      </c>
      <c r="AN34">
        <v>5943.4676495570866</v>
      </c>
      <c r="AO34">
        <v>5932.3056558425751</v>
      </c>
      <c r="AP34">
        <v>5914.9283042327406</v>
      </c>
      <c r="AQ34">
        <v>5890.6828275404951</v>
      </c>
      <c r="AR34">
        <v>5973.1732744630217</v>
      </c>
      <c r="AS34">
        <v>5965.1812970654964</v>
      </c>
      <c r="AT34">
        <v>5952.6777561209083</v>
      </c>
      <c r="AU34">
        <v>5935.4997587699499</v>
      </c>
    </row>
    <row r="35" spans="1:47">
      <c r="B35" t="s">
        <v>953</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954</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955</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8" customFormat="1">
      <c r="A39" s="108"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950</v>
      </c>
      <c r="C41" s="56">
        <f t="array" ref="C41:AU46">TRANSPOSE(Public_1!AP5:AU49)</f>
        <v>980.54910444810548</v>
      </c>
      <c r="D41" s="57">
        <v>1020.8593603644063</v>
      </c>
      <c r="E41" s="57">
        <v>1033.4244852567363</v>
      </c>
      <c r="F41" s="57">
        <v>1188.8491025012263</v>
      </c>
      <c r="G41" s="57">
        <v>768.24349306930685</v>
      </c>
      <c r="H41" s="57">
        <v>888.60385626643301</v>
      </c>
      <c r="I41" s="56">
        <v>1061.9227993254635</v>
      </c>
      <c r="J41" s="56">
        <v>1089.7007774390245</v>
      </c>
      <c r="K41" s="56">
        <v>1235.171797374024</v>
      </c>
      <c r="L41" s="56">
        <v>1304.935013142391</v>
      </c>
      <c r="M41" s="56">
        <v>1402.1023268349654</v>
      </c>
      <c r="N41">
        <v>601.24916669760569</v>
      </c>
      <c r="O41">
        <v>614.12717337771551</v>
      </c>
      <c r="P41">
        <v>617.12260876430503</v>
      </c>
      <c r="Q41">
        <v>655.09500457428464</v>
      </c>
      <c r="R41">
        <v>665.55421832955278</v>
      </c>
      <c r="S41">
        <v>1498.0323219100494</v>
      </c>
      <c r="T41">
        <v>1544.6994481428762</v>
      </c>
      <c r="U41">
        <v>1591.3989132656134</v>
      </c>
      <c r="V41">
        <v>1637.2092453112011</v>
      </c>
      <c r="W41">
        <v>1684.9158005436934</v>
      </c>
      <c r="X41">
        <v>1734.8072653537988</v>
      </c>
      <c r="Y41">
        <v>1786.7526054509015</v>
      </c>
      <c r="Z41">
        <v>1840.1021295170915</v>
      </c>
      <c r="AA41">
        <v>1894.5536026634743</v>
      </c>
      <c r="AB41">
        <v>1949.5495300983762</v>
      </c>
      <c r="AC41">
        <v>2005.4996783460917</v>
      </c>
      <c r="AD41">
        <v>2062.6177707393358</v>
      </c>
      <c r="AE41">
        <v>2121.029700970686</v>
      </c>
      <c r="AF41">
        <v>2181.1171313970476</v>
      </c>
      <c r="AG41">
        <v>2240.2506577486497</v>
      </c>
      <c r="AH41">
        <v>2300.7572557394628</v>
      </c>
      <c r="AI41">
        <v>2361.5884590329729</v>
      </c>
      <c r="AJ41">
        <v>2422.3163437659691</v>
      </c>
      <c r="AK41">
        <v>2482.8733704581432</v>
      </c>
      <c r="AL41">
        <v>2543.2828398158908</v>
      </c>
      <c r="AM41">
        <v>2603.6372337354378</v>
      </c>
      <c r="AN41">
        <v>2664.2357567830854</v>
      </c>
      <c r="AO41">
        <v>2724.7741055113579</v>
      </c>
      <c r="AP41">
        <v>2785.2632393608428</v>
      </c>
      <c r="AQ41">
        <v>2845.3702818150082</v>
      </c>
      <c r="AR41">
        <v>2961.3732313691944</v>
      </c>
      <c r="AS41">
        <v>3037.3709349732553</v>
      </c>
      <c r="AT41">
        <v>3114.9978352794878</v>
      </c>
      <c r="AU41">
        <v>3194.2857181842614</v>
      </c>
    </row>
    <row r="42" spans="1:47">
      <c r="B42" t="s">
        <v>951</v>
      </c>
      <c r="C42" s="56">
        <v>0</v>
      </c>
      <c r="D42" s="57">
        <v>0</v>
      </c>
      <c r="E42" s="57">
        <v>0</v>
      </c>
      <c r="F42" s="57">
        <v>0</v>
      </c>
      <c r="G42" s="57">
        <v>0</v>
      </c>
      <c r="H42" s="57">
        <v>0</v>
      </c>
      <c r="I42" s="56">
        <v>0</v>
      </c>
      <c r="J42" s="56">
        <v>0</v>
      </c>
      <c r="K42" s="56">
        <v>0</v>
      </c>
      <c r="L42" s="56">
        <v>0</v>
      </c>
      <c r="M42" s="56">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952</v>
      </c>
      <c r="C43" s="56">
        <v>39.010937500000004</v>
      </c>
      <c r="D43" s="57">
        <v>40.697994373827882</v>
      </c>
      <c r="E43" s="57">
        <v>44.722494641216706</v>
      </c>
      <c r="F43" s="57">
        <v>38.476752767527678</v>
      </c>
      <c r="G43" s="57">
        <v>22.018175809649705</v>
      </c>
      <c r="H43" s="57">
        <v>20.491228070175438</v>
      </c>
      <c r="I43" s="56">
        <v>17.732180232558139</v>
      </c>
      <c r="J43" s="56">
        <v>19.137550753110673</v>
      </c>
      <c r="K43" s="56">
        <v>19.652385636989671</v>
      </c>
      <c r="L43" s="56">
        <v>19.72258716523497</v>
      </c>
      <c r="M43" s="56">
        <v>19.576002640699787</v>
      </c>
      <c r="N43">
        <v>0.82734837514732995</v>
      </c>
      <c r="O43">
        <v>1.5774795714014209</v>
      </c>
      <c r="P43">
        <v>1.6402348147917734</v>
      </c>
      <c r="Q43">
        <v>0</v>
      </c>
      <c r="R43">
        <v>0</v>
      </c>
      <c r="S43">
        <v>23.204587904208772</v>
      </c>
      <c r="T43">
        <v>24.091504388811515</v>
      </c>
      <c r="U43">
        <v>24.970261101968124</v>
      </c>
      <c r="V43">
        <v>25.824761390051123</v>
      </c>
      <c r="W43">
        <v>26.697386417643752</v>
      </c>
      <c r="X43">
        <v>27.591544317361034</v>
      </c>
      <c r="Y43">
        <v>28.503880634037053</v>
      </c>
      <c r="Z43">
        <v>29.422587033808501</v>
      </c>
      <c r="AA43">
        <v>30.341222438913501</v>
      </c>
      <c r="AB43">
        <v>31.249151333531952</v>
      </c>
      <c r="AC43">
        <v>32.151174322660822</v>
      </c>
      <c r="AD43">
        <v>33.048910242841856</v>
      </c>
      <c r="AE43">
        <v>33.942501704579271</v>
      </c>
      <c r="AF43">
        <v>34.836093219435</v>
      </c>
      <c r="AG43">
        <v>35.685725124911592</v>
      </c>
      <c r="AH43">
        <v>36.526586906641413</v>
      </c>
      <c r="AI43">
        <v>37.339972720271462</v>
      </c>
      <c r="AJ43">
        <v>38.117179647439713</v>
      </c>
      <c r="AK43">
        <v>38.855283814048825</v>
      </c>
      <c r="AL43">
        <v>39.552819924616898</v>
      </c>
      <c r="AM43">
        <v>40.209404986464477</v>
      </c>
      <c r="AN43">
        <v>40.827802341890767</v>
      </c>
      <c r="AO43">
        <v>41.401466415906484</v>
      </c>
      <c r="AP43">
        <v>41.928766145908014</v>
      </c>
      <c r="AQ43">
        <v>42.402956958193791</v>
      </c>
      <c r="AR43">
        <v>43.651996654946842</v>
      </c>
      <c r="AS43">
        <v>44.248105016769884</v>
      </c>
      <c r="AT43">
        <v>44.808641305220519</v>
      </c>
      <c r="AU43">
        <v>45.330875235204651</v>
      </c>
    </row>
    <row r="44" spans="1:47">
      <c r="B44" t="s">
        <v>953</v>
      </c>
      <c r="C44" s="56">
        <v>0</v>
      </c>
      <c r="D44" s="57">
        <v>0</v>
      </c>
      <c r="E44" s="57">
        <v>0</v>
      </c>
      <c r="F44" s="57">
        <v>0</v>
      </c>
      <c r="G44" s="57">
        <v>0</v>
      </c>
      <c r="H44" s="57">
        <v>0</v>
      </c>
      <c r="I44" s="56">
        <v>0</v>
      </c>
      <c r="J44" s="56">
        <v>0</v>
      </c>
      <c r="K44" s="56">
        <v>0</v>
      </c>
      <c r="L44" s="56">
        <v>0</v>
      </c>
      <c r="M44" s="56">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954</v>
      </c>
      <c r="C45">
        <v>0</v>
      </c>
      <c r="D45" s="57">
        <v>0</v>
      </c>
      <c r="E45" s="57">
        <v>0</v>
      </c>
      <c r="F45" s="57">
        <v>0</v>
      </c>
      <c r="G45" s="57">
        <v>0</v>
      </c>
      <c r="H45" s="57">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955</v>
      </c>
      <c r="C46">
        <v>0</v>
      </c>
      <c r="D46" s="57">
        <v>0</v>
      </c>
      <c r="E46" s="57">
        <v>0</v>
      </c>
      <c r="F46" s="57">
        <v>0</v>
      </c>
      <c r="G46" s="57">
        <v>0</v>
      </c>
      <c r="H46" s="57">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67" t="s">
        <v>956</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950</v>
      </c>
      <c r="C50" s="56">
        <f t="shared" ref="C50:AU55" si="0">SUM(C5,C14,C23,C32,C41)</f>
        <v>16480.391758813839</v>
      </c>
      <c r="D50" s="56">
        <f t="shared" si="0"/>
        <v>16873.950000000004</v>
      </c>
      <c r="E50" s="56">
        <f t="shared" si="0"/>
        <v>16851.78</v>
      </c>
      <c r="F50" s="56">
        <f t="shared" si="0"/>
        <v>17726.240000000002</v>
      </c>
      <c r="G50" s="56">
        <f t="shared" si="0"/>
        <v>10597.902914851486</v>
      </c>
      <c r="H50" s="56">
        <f t="shared" si="0"/>
        <v>10189.034180543382</v>
      </c>
      <c r="I50" s="56">
        <f t="shared" si="0"/>
        <v>11637.539999999997</v>
      </c>
      <c r="J50" s="56">
        <f t="shared" si="0"/>
        <v>11289.644283536585</v>
      </c>
      <c r="K50" s="56">
        <f t="shared" si="0"/>
        <v>12161.857505322921</v>
      </c>
      <c r="L50" s="56">
        <f t="shared" si="0"/>
        <v>11878.999999999998</v>
      </c>
      <c r="M50" s="56">
        <f t="shared" si="0"/>
        <v>12033</v>
      </c>
      <c r="N50" s="56">
        <f t="shared" si="0"/>
        <v>10936.382839056994</v>
      </c>
      <c r="O50" s="56">
        <f t="shared" si="0"/>
        <v>11117.161372552358</v>
      </c>
      <c r="P50" s="56">
        <f t="shared" si="0"/>
        <v>11070.938452077231</v>
      </c>
      <c r="Q50" s="56">
        <f t="shared" si="0"/>
        <v>12029.526083997705</v>
      </c>
      <c r="R50" s="56">
        <f t="shared" si="0"/>
        <v>12296.854297472708</v>
      </c>
      <c r="S50" s="56">
        <f t="shared" si="0"/>
        <v>13569.249380912159</v>
      </c>
      <c r="T50" s="56">
        <f t="shared" si="0"/>
        <v>14055.406678543435</v>
      </c>
      <c r="U50" s="56">
        <f t="shared" si="0"/>
        <v>14545.371301850417</v>
      </c>
      <c r="V50" s="56">
        <f t="shared" si="0"/>
        <v>15030.658132840981</v>
      </c>
      <c r="W50" s="56">
        <f t="shared" si="0"/>
        <v>15536.813892947926</v>
      </c>
      <c r="X50" s="56">
        <f t="shared" si="0"/>
        <v>16066.712244512279</v>
      </c>
      <c r="Y50" s="56">
        <f t="shared" si="0"/>
        <v>16619.366689345035</v>
      </c>
      <c r="Z50" s="56">
        <f t="shared" si="0"/>
        <v>17188.922147056936</v>
      </c>
      <c r="AA50" s="56">
        <f t="shared" si="0"/>
        <v>17772.677358196735</v>
      </c>
      <c r="AB50" s="56">
        <f t="shared" si="0"/>
        <v>18365.476921891608</v>
      </c>
      <c r="AC50" s="56">
        <f t="shared" si="0"/>
        <v>18971.226409507974</v>
      </c>
      <c r="AD50" s="56">
        <f t="shared" si="0"/>
        <v>19592.032458120331</v>
      </c>
      <c r="AE50" s="56">
        <f t="shared" si="0"/>
        <v>20229.195952912032</v>
      </c>
      <c r="AF50" s="56">
        <f t="shared" si="0"/>
        <v>20886.484941639501</v>
      </c>
      <c r="AG50" s="56">
        <f t="shared" si="0"/>
        <v>21538.774658008624</v>
      </c>
      <c r="AH50" s="56">
        <f t="shared" si="0"/>
        <v>22208.378639857456</v>
      </c>
      <c r="AI50" s="56">
        <f t="shared" si="0"/>
        <v>22885.254953295178</v>
      </c>
      <c r="AJ50" s="56">
        <f t="shared" si="0"/>
        <v>23565.238347854931</v>
      </c>
      <c r="AK50" s="56">
        <f t="shared" si="0"/>
        <v>24247.618309139845</v>
      </c>
      <c r="AL50" s="56">
        <f t="shared" si="0"/>
        <v>24932.56484250768</v>
      </c>
      <c r="AM50" s="56">
        <f t="shared" si="0"/>
        <v>25620.932355024568</v>
      </c>
      <c r="AN50" s="56">
        <f t="shared" si="0"/>
        <v>26315.630932246553</v>
      </c>
      <c r="AO50" s="56">
        <f t="shared" si="0"/>
        <v>27013.631404269217</v>
      </c>
      <c r="AP50" s="56">
        <f t="shared" si="0"/>
        <v>27714.99687317996</v>
      </c>
      <c r="AQ50" s="56">
        <f t="shared" si="0"/>
        <v>28416.358231020015</v>
      </c>
      <c r="AR50" s="56">
        <f t="shared" si="0"/>
        <v>29681.706542419059</v>
      </c>
      <c r="AS50" s="56">
        <f t="shared" si="0"/>
        <v>30552.364526515608</v>
      </c>
      <c r="AT50" s="56">
        <f t="shared" si="0"/>
        <v>31444.256151772221</v>
      </c>
      <c r="AU50" s="56">
        <f t="shared" si="0"/>
        <v>32357.827276284377</v>
      </c>
    </row>
    <row r="51" spans="2:47">
      <c r="B51" t="s">
        <v>951</v>
      </c>
      <c r="C51" s="56">
        <f t="shared" si="0"/>
        <v>0</v>
      </c>
      <c r="D51" s="56">
        <f t="shared" si="0"/>
        <v>0</v>
      </c>
      <c r="E51" s="56">
        <f t="shared" si="0"/>
        <v>0</v>
      </c>
      <c r="F51" s="56">
        <f t="shared" si="0"/>
        <v>0</v>
      </c>
      <c r="G51" s="56">
        <f t="shared" si="0"/>
        <v>0</v>
      </c>
      <c r="H51" s="56">
        <f t="shared" si="0"/>
        <v>384.21052631578948</v>
      </c>
      <c r="I51" s="56">
        <f t="shared" si="0"/>
        <v>0</v>
      </c>
      <c r="J51" s="56">
        <f t="shared" si="0"/>
        <v>0</v>
      </c>
      <c r="K51" s="56">
        <f t="shared" si="0"/>
        <v>0</v>
      </c>
      <c r="L51" s="56">
        <f t="shared" si="0"/>
        <v>0</v>
      </c>
      <c r="M51" s="56">
        <f t="shared" si="0"/>
        <v>0</v>
      </c>
      <c r="N51" s="56">
        <f t="shared" si="0"/>
        <v>0.41367418757366498</v>
      </c>
      <c r="O51" s="56">
        <f t="shared" si="0"/>
        <v>0.78873978570071046</v>
      </c>
      <c r="P51" s="56">
        <f t="shared" si="0"/>
        <v>1.2301761110938301</v>
      </c>
      <c r="Q51" s="56">
        <f t="shared" si="0"/>
        <v>0</v>
      </c>
      <c r="R51" s="56">
        <f t="shared" si="0"/>
        <v>0</v>
      </c>
      <c r="S51" s="56">
        <f t="shared" si="0"/>
        <v>0</v>
      </c>
      <c r="T51" s="56">
        <f t="shared" si="0"/>
        <v>0</v>
      </c>
      <c r="U51" s="56">
        <f t="shared" si="0"/>
        <v>0</v>
      </c>
      <c r="V51" s="56">
        <f t="shared" si="0"/>
        <v>0</v>
      </c>
      <c r="W51" s="56">
        <f t="shared" si="0"/>
        <v>0</v>
      </c>
      <c r="X51" s="56">
        <f t="shared" si="0"/>
        <v>0</v>
      </c>
      <c r="Y51" s="56">
        <f t="shared" si="0"/>
        <v>0</v>
      </c>
      <c r="Z51" s="56">
        <f t="shared" si="0"/>
        <v>0</v>
      </c>
      <c r="AA51" s="56">
        <f t="shared" si="0"/>
        <v>0</v>
      </c>
      <c r="AB51" s="56">
        <f t="shared" si="0"/>
        <v>0</v>
      </c>
      <c r="AC51" s="56">
        <f t="shared" si="0"/>
        <v>0</v>
      </c>
      <c r="AD51" s="56">
        <f t="shared" si="0"/>
        <v>0</v>
      </c>
      <c r="AE51" s="56">
        <f t="shared" si="0"/>
        <v>0</v>
      </c>
      <c r="AF51" s="56">
        <f t="shared" si="0"/>
        <v>0</v>
      </c>
      <c r="AG51" s="56">
        <f t="shared" si="0"/>
        <v>0</v>
      </c>
      <c r="AH51" s="56">
        <f t="shared" si="0"/>
        <v>0</v>
      </c>
      <c r="AI51" s="56">
        <f t="shared" si="0"/>
        <v>0</v>
      </c>
      <c r="AJ51" s="56">
        <f t="shared" si="0"/>
        <v>0</v>
      </c>
      <c r="AK51" s="56">
        <f t="shared" si="0"/>
        <v>0</v>
      </c>
      <c r="AL51" s="56">
        <f t="shared" si="0"/>
        <v>0</v>
      </c>
      <c r="AM51" s="56">
        <f t="shared" si="0"/>
        <v>0</v>
      </c>
      <c r="AN51" s="56">
        <f t="shared" si="0"/>
        <v>0</v>
      </c>
      <c r="AO51" s="56">
        <f t="shared" si="0"/>
        <v>0</v>
      </c>
      <c r="AP51" s="56">
        <f t="shared" si="0"/>
        <v>0</v>
      </c>
      <c r="AQ51" s="56">
        <f t="shared" si="0"/>
        <v>0</v>
      </c>
      <c r="AR51" s="56">
        <f t="shared" si="0"/>
        <v>0</v>
      </c>
      <c r="AS51" s="56">
        <f t="shared" si="0"/>
        <v>0</v>
      </c>
      <c r="AT51" s="56">
        <f t="shared" si="0"/>
        <v>0</v>
      </c>
      <c r="AU51" s="56">
        <f t="shared" si="0"/>
        <v>0</v>
      </c>
    </row>
    <row r="52" spans="2:47">
      <c r="B52" t="s">
        <v>952</v>
      </c>
      <c r="C52" s="56">
        <f t="shared" si="0"/>
        <v>8486.1792708333342</v>
      </c>
      <c r="D52" s="56">
        <f t="shared" si="0"/>
        <v>8311.0500000000011</v>
      </c>
      <c r="E52" s="56">
        <f t="shared" si="0"/>
        <v>8426.7500479738719</v>
      </c>
      <c r="F52" s="56">
        <f t="shared" si="0"/>
        <v>8341.76</v>
      </c>
      <c r="G52" s="56">
        <f t="shared" si="0"/>
        <v>5515.1126768010581</v>
      </c>
      <c r="H52" s="56">
        <f t="shared" si="0"/>
        <v>6024.4210526315792</v>
      </c>
      <c r="I52" s="56">
        <f t="shared" si="0"/>
        <v>5228.4599999999991</v>
      </c>
      <c r="J52" s="56">
        <f t="shared" si="0"/>
        <v>5314.1498886705958</v>
      </c>
      <c r="K52" s="56">
        <f t="shared" si="0"/>
        <v>5210.4455484505661</v>
      </c>
      <c r="L52" s="56">
        <f t="shared" si="0"/>
        <v>5091.8575037897936</v>
      </c>
      <c r="M52" s="56">
        <f t="shared" si="0"/>
        <v>5156.1488694504042</v>
      </c>
      <c r="N52" s="56">
        <f t="shared" si="0"/>
        <v>4910.312606499403</v>
      </c>
      <c r="O52" s="56">
        <f t="shared" si="0"/>
        <v>4916.2150842725287</v>
      </c>
      <c r="P52" s="56">
        <f t="shared" si="0"/>
        <v>4815.729416228648</v>
      </c>
      <c r="Q52" s="56">
        <f t="shared" si="0"/>
        <v>5134.5153954415337</v>
      </c>
      <c r="R52" s="56">
        <f t="shared" si="0"/>
        <v>5071.0959902050663</v>
      </c>
      <c r="S52" s="56">
        <f t="shared" si="0"/>
        <v>5097.8020435542685</v>
      </c>
      <c r="T52" s="56">
        <f t="shared" si="0"/>
        <v>5169.8449334905827</v>
      </c>
      <c r="U52" s="56">
        <f t="shared" si="0"/>
        <v>5236.9091531884487</v>
      </c>
      <c r="V52" s="56">
        <f t="shared" si="0"/>
        <v>5296.0248596904794</v>
      </c>
      <c r="W52" s="56">
        <f t="shared" si="0"/>
        <v>5356.2121244637228</v>
      </c>
      <c r="X52" s="56">
        <f t="shared" si="0"/>
        <v>5418.0719385214124</v>
      </c>
      <c r="Y52" s="56">
        <f t="shared" si="0"/>
        <v>5480.8549720180499</v>
      </c>
      <c r="Z52" s="56">
        <f t="shared" si="0"/>
        <v>5542.2804999286764</v>
      </c>
      <c r="AA52" s="56">
        <f t="shared" si="0"/>
        <v>5601.2407360361794</v>
      </c>
      <c r="AB52" s="56">
        <f t="shared" si="0"/>
        <v>5655.9554373007422</v>
      </c>
      <c r="AC52" s="56">
        <f t="shared" si="0"/>
        <v>5707.5212849796862</v>
      </c>
      <c r="AD52" s="56">
        <f t="shared" si="0"/>
        <v>5756.3981510685153</v>
      </c>
      <c r="AE52" s="56">
        <f t="shared" si="0"/>
        <v>5802.7595316495317</v>
      </c>
      <c r="AF52" s="56">
        <f t="shared" si="0"/>
        <v>5847.438069535081</v>
      </c>
      <c r="AG52" s="56">
        <f t="shared" si="0"/>
        <v>5883.2764112152981</v>
      </c>
      <c r="AH52" s="56">
        <f t="shared" si="0"/>
        <v>5916.4388870170324</v>
      </c>
      <c r="AI52" s="56">
        <f t="shared" si="0"/>
        <v>5944.0859177820894</v>
      </c>
      <c r="AJ52" s="56">
        <f t="shared" si="0"/>
        <v>5965.1355216374304</v>
      </c>
      <c r="AK52" s="56">
        <f t="shared" si="0"/>
        <v>5979.4670717008121</v>
      </c>
      <c r="AL52" s="56">
        <f t="shared" si="0"/>
        <v>5987.1886262166372</v>
      </c>
      <c r="AM52" s="56">
        <f t="shared" si="0"/>
        <v>5988.5624750865172</v>
      </c>
      <c r="AN52" s="56">
        <f t="shared" si="0"/>
        <v>5984.2954518989773</v>
      </c>
      <c r="AO52" s="56">
        <f t="shared" si="0"/>
        <v>5973.7071222584818</v>
      </c>
      <c r="AP52" s="56">
        <f t="shared" si="0"/>
        <v>5956.857070378649</v>
      </c>
      <c r="AQ52" s="56">
        <f t="shared" si="0"/>
        <v>5933.0857844986886</v>
      </c>
      <c r="AR52" s="56">
        <f t="shared" si="0"/>
        <v>6016.8252711179684</v>
      </c>
      <c r="AS52" s="56">
        <f t="shared" si="0"/>
        <v>6009.4294020822663</v>
      </c>
      <c r="AT52" s="56">
        <f t="shared" si="0"/>
        <v>5997.4863974261289</v>
      </c>
      <c r="AU52" s="56">
        <f t="shared" si="0"/>
        <v>5980.8306340051549</v>
      </c>
    </row>
    <row r="53" spans="2:47">
      <c r="B53" t="s">
        <v>953</v>
      </c>
      <c r="C53" s="56">
        <f t="shared" si="0"/>
        <v>0</v>
      </c>
      <c r="D53" s="56">
        <f t="shared" si="0"/>
        <v>0</v>
      </c>
      <c r="E53" s="56">
        <f t="shared" si="0"/>
        <v>0</v>
      </c>
      <c r="F53" s="56">
        <f t="shared" si="0"/>
        <v>0</v>
      </c>
      <c r="G53" s="56">
        <f t="shared" si="0"/>
        <v>0</v>
      </c>
      <c r="H53" s="56">
        <f t="shared" si="0"/>
        <v>384.21052631578948</v>
      </c>
      <c r="I53" s="56">
        <f t="shared" si="0"/>
        <v>0</v>
      </c>
      <c r="J53" s="56">
        <f t="shared" si="0"/>
        <v>0</v>
      </c>
      <c r="K53" s="56">
        <f t="shared" si="0"/>
        <v>0</v>
      </c>
      <c r="L53" s="56">
        <f t="shared" si="0"/>
        <v>0</v>
      </c>
      <c r="M53" s="56">
        <f t="shared" si="0"/>
        <v>0</v>
      </c>
      <c r="N53" s="56">
        <f t="shared" si="0"/>
        <v>0.41367418757366498</v>
      </c>
      <c r="O53" s="56">
        <f t="shared" si="0"/>
        <v>0.78873978570071046</v>
      </c>
      <c r="P53" s="56">
        <f t="shared" si="0"/>
        <v>1.2301761110938301</v>
      </c>
      <c r="Q53" s="56">
        <f t="shared" si="0"/>
        <v>0</v>
      </c>
      <c r="R53" s="56">
        <f t="shared" si="0"/>
        <v>0</v>
      </c>
      <c r="S53" s="56">
        <f t="shared" si="0"/>
        <v>0</v>
      </c>
      <c r="T53" s="56">
        <f t="shared" si="0"/>
        <v>0</v>
      </c>
      <c r="U53" s="56">
        <f t="shared" si="0"/>
        <v>0</v>
      </c>
      <c r="V53" s="56">
        <f t="shared" si="0"/>
        <v>0</v>
      </c>
      <c r="W53" s="56">
        <f t="shared" si="0"/>
        <v>0</v>
      </c>
      <c r="X53" s="56">
        <f t="shared" si="0"/>
        <v>0</v>
      </c>
      <c r="Y53" s="56">
        <f t="shared" si="0"/>
        <v>0</v>
      </c>
      <c r="Z53" s="56">
        <f t="shared" si="0"/>
        <v>0</v>
      </c>
      <c r="AA53" s="56">
        <f t="shared" si="0"/>
        <v>0</v>
      </c>
      <c r="AB53" s="56">
        <f t="shared" si="0"/>
        <v>0</v>
      </c>
      <c r="AC53" s="56">
        <f t="shared" si="0"/>
        <v>0</v>
      </c>
      <c r="AD53" s="56">
        <f t="shared" si="0"/>
        <v>0</v>
      </c>
      <c r="AE53" s="56">
        <f t="shared" si="0"/>
        <v>0</v>
      </c>
      <c r="AF53" s="56">
        <f t="shared" si="0"/>
        <v>0</v>
      </c>
      <c r="AG53" s="56">
        <f t="shared" si="0"/>
        <v>0</v>
      </c>
      <c r="AH53" s="56">
        <f t="shared" si="0"/>
        <v>0</v>
      </c>
      <c r="AI53" s="56">
        <f t="shared" si="0"/>
        <v>0</v>
      </c>
      <c r="AJ53" s="56">
        <f t="shared" si="0"/>
        <v>0</v>
      </c>
      <c r="AK53" s="56">
        <f t="shared" si="0"/>
        <v>0</v>
      </c>
      <c r="AL53" s="56">
        <f t="shared" si="0"/>
        <v>0</v>
      </c>
      <c r="AM53" s="56">
        <f t="shared" si="0"/>
        <v>0</v>
      </c>
      <c r="AN53" s="56">
        <f t="shared" si="0"/>
        <v>0</v>
      </c>
      <c r="AO53" s="56">
        <f t="shared" si="0"/>
        <v>0</v>
      </c>
      <c r="AP53" s="56">
        <f t="shared" si="0"/>
        <v>0</v>
      </c>
      <c r="AQ53" s="56">
        <f t="shared" si="0"/>
        <v>0</v>
      </c>
      <c r="AR53" s="56">
        <f t="shared" si="0"/>
        <v>0</v>
      </c>
      <c r="AS53" s="56">
        <f t="shared" si="0"/>
        <v>0</v>
      </c>
      <c r="AT53" s="56">
        <f t="shared" si="0"/>
        <v>0</v>
      </c>
      <c r="AU53" s="56">
        <f t="shared" si="0"/>
        <v>0</v>
      </c>
    </row>
    <row r="54" spans="2:47">
      <c r="B54" t="s">
        <v>954</v>
      </c>
      <c r="C54" s="56">
        <f t="shared" si="0"/>
        <v>0</v>
      </c>
      <c r="D54" s="56">
        <f t="shared" si="0"/>
        <v>0</v>
      </c>
      <c r="E54" s="56">
        <f t="shared" si="0"/>
        <v>0</v>
      </c>
      <c r="F54" s="56">
        <f t="shared" si="0"/>
        <v>0</v>
      </c>
      <c r="G54" s="56">
        <f t="shared" si="0"/>
        <v>0</v>
      </c>
      <c r="H54" s="56">
        <f t="shared" si="0"/>
        <v>0</v>
      </c>
      <c r="I54" s="56">
        <f t="shared" si="0"/>
        <v>0</v>
      </c>
      <c r="J54" s="56">
        <f t="shared" si="0"/>
        <v>0</v>
      </c>
      <c r="K54" s="56">
        <f t="shared" si="0"/>
        <v>0</v>
      </c>
      <c r="L54" s="56">
        <f t="shared" si="0"/>
        <v>0</v>
      </c>
      <c r="M54" s="56">
        <f t="shared" si="0"/>
        <v>0</v>
      </c>
      <c r="N54" s="56">
        <f t="shared" si="0"/>
        <v>0</v>
      </c>
      <c r="O54" s="56">
        <f t="shared" si="0"/>
        <v>0</v>
      </c>
      <c r="P54" s="56">
        <f t="shared" si="0"/>
        <v>0</v>
      </c>
      <c r="Q54" s="56">
        <f t="shared" si="0"/>
        <v>0</v>
      </c>
      <c r="R54" s="56">
        <f t="shared" si="0"/>
        <v>0</v>
      </c>
      <c r="S54" s="56">
        <f t="shared" si="0"/>
        <v>0</v>
      </c>
      <c r="T54" s="56">
        <f t="shared" si="0"/>
        <v>0</v>
      </c>
      <c r="U54" s="56">
        <f t="shared" si="0"/>
        <v>0</v>
      </c>
      <c r="V54" s="56">
        <f t="shared" si="0"/>
        <v>0</v>
      </c>
      <c r="W54" s="56">
        <f t="shared" si="0"/>
        <v>0</v>
      </c>
      <c r="X54" s="56">
        <f t="shared" si="0"/>
        <v>0</v>
      </c>
      <c r="Y54" s="56">
        <f t="shared" si="0"/>
        <v>0</v>
      </c>
      <c r="Z54" s="56">
        <f t="shared" si="0"/>
        <v>0</v>
      </c>
      <c r="AA54" s="56">
        <f t="shared" si="0"/>
        <v>0</v>
      </c>
      <c r="AB54" s="56">
        <f t="shared" si="0"/>
        <v>0</v>
      </c>
      <c r="AC54" s="56">
        <f t="shared" si="0"/>
        <v>0</v>
      </c>
      <c r="AD54" s="56">
        <f t="shared" si="0"/>
        <v>0</v>
      </c>
      <c r="AE54" s="56">
        <f t="shared" si="0"/>
        <v>0</v>
      </c>
      <c r="AF54" s="56">
        <f t="shared" si="0"/>
        <v>0</v>
      </c>
      <c r="AG54" s="56">
        <f t="shared" si="0"/>
        <v>0</v>
      </c>
      <c r="AH54" s="56">
        <f t="shared" si="0"/>
        <v>0</v>
      </c>
      <c r="AI54" s="56">
        <f t="shared" si="0"/>
        <v>0</v>
      </c>
      <c r="AJ54" s="56">
        <f t="shared" si="0"/>
        <v>0</v>
      </c>
      <c r="AK54" s="56">
        <f t="shared" si="0"/>
        <v>0</v>
      </c>
      <c r="AL54" s="56">
        <f t="shared" si="0"/>
        <v>0</v>
      </c>
      <c r="AM54" s="56">
        <f t="shared" si="0"/>
        <v>0</v>
      </c>
      <c r="AN54" s="56">
        <f t="shared" si="0"/>
        <v>0</v>
      </c>
      <c r="AO54" s="56">
        <f t="shared" si="0"/>
        <v>0</v>
      </c>
      <c r="AP54" s="56">
        <f t="shared" si="0"/>
        <v>0</v>
      </c>
      <c r="AQ54" s="56">
        <f t="shared" si="0"/>
        <v>0</v>
      </c>
      <c r="AR54" s="56">
        <f t="shared" si="0"/>
        <v>0</v>
      </c>
      <c r="AS54" s="56">
        <f t="shared" si="0"/>
        <v>0</v>
      </c>
      <c r="AT54" s="56">
        <f t="shared" si="0"/>
        <v>0</v>
      </c>
      <c r="AU54" s="56">
        <f t="shared" si="0"/>
        <v>0</v>
      </c>
    </row>
    <row r="55" spans="2:47">
      <c r="B55" t="s">
        <v>955</v>
      </c>
      <c r="C55" s="56">
        <f t="shared" si="0"/>
        <v>0</v>
      </c>
      <c r="D55" s="56">
        <f t="shared" si="0"/>
        <v>0</v>
      </c>
      <c r="E55" s="56">
        <f t="shared" si="0"/>
        <v>0</v>
      </c>
      <c r="F55" s="56">
        <f t="shared" si="0"/>
        <v>0</v>
      </c>
      <c r="G55" s="56">
        <f t="shared" si="0"/>
        <v>0</v>
      </c>
      <c r="H55" s="56">
        <f t="shared" si="0"/>
        <v>0</v>
      </c>
      <c r="I55" s="56">
        <f t="shared" si="0"/>
        <v>0</v>
      </c>
      <c r="J55" s="56">
        <f t="shared" si="0"/>
        <v>0</v>
      </c>
      <c r="K55" s="56">
        <f t="shared" si="0"/>
        <v>0</v>
      </c>
      <c r="L55" s="56">
        <f t="shared" si="0"/>
        <v>0</v>
      </c>
      <c r="M55" s="56">
        <f t="shared" si="0"/>
        <v>0</v>
      </c>
      <c r="N55" s="56">
        <f t="shared" si="0"/>
        <v>0</v>
      </c>
      <c r="O55" s="56">
        <f t="shared" si="0"/>
        <v>0</v>
      </c>
      <c r="P55" s="56">
        <f t="shared" si="0"/>
        <v>0</v>
      </c>
      <c r="Q55" s="56">
        <f t="shared" si="0"/>
        <v>0</v>
      </c>
      <c r="R55" s="56">
        <f t="shared" si="0"/>
        <v>0</v>
      </c>
      <c r="S55" s="56">
        <f t="shared" si="0"/>
        <v>0</v>
      </c>
      <c r="T55" s="56">
        <f t="shared" si="0"/>
        <v>0</v>
      </c>
      <c r="U55" s="56">
        <f t="shared" si="0"/>
        <v>0</v>
      </c>
      <c r="V55" s="56">
        <f t="shared" si="0"/>
        <v>0</v>
      </c>
      <c r="W55" s="56">
        <f t="shared" si="0"/>
        <v>0</v>
      </c>
      <c r="X55" s="56">
        <f t="shared" si="0"/>
        <v>0</v>
      </c>
      <c r="Y55" s="56">
        <f t="shared" si="0"/>
        <v>0</v>
      </c>
      <c r="Z55" s="56">
        <f t="shared" si="0"/>
        <v>0</v>
      </c>
      <c r="AA55" s="56">
        <f t="shared" si="0"/>
        <v>0</v>
      </c>
      <c r="AB55" s="56">
        <f t="shared" si="0"/>
        <v>0</v>
      </c>
      <c r="AC55" s="56">
        <f t="shared" si="0"/>
        <v>0</v>
      </c>
      <c r="AD55" s="56">
        <f t="shared" si="0"/>
        <v>0</v>
      </c>
      <c r="AE55" s="56">
        <f t="shared" si="0"/>
        <v>0</v>
      </c>
      <c r="AF55" s="56">
        <f t="shared" si="0"/>
        <v>0</v>
      </c>
      <c r="AG55" s="56">
        <f t="shared" ref="AG55:AU55" si="1">SUM(AG10,AG19,AG28,AG37,AG46)</f>
        <v>0</v>
      </c>
      <c r="AH55" s="56">
        <f t="shared" si="1"/>
        <v>0</v>
      </c>
      <c r="AI55" s="56">
        <f t="shared" si="1"/>
        <v>0</v>
      </c>
      <c r="AJ55" s="56">
        <f t="shared" si="1"/>
        <v>0</v>
      </c>
      <c r="AK55" s="56">
        <f t="shared" si="1"/>
        <v>0</v>
      </c>
      <c r="AL55" s="56">
        <f t="shared" si="1"/>
        <v>0</v>
      </c>
      <c r="AM55" s="56">
        <f t="shared" si="1"/>
        <v>0</v>
      </c>
      <c r="AN55" s="56">
        <f t="shared" si="1"/>
        <v>0</v>
      </c>
      <c r="AO55" s="56">
        <f t="shared" si="1"/>
        <v>0</v>
      </c>
      <c r="AP55" s="56">
        <f t="shared" si="1"/>
        <v>0</v>
      </c>
      <c r="AQ55" s="56">
        <f t="shared" si="1"/>
        <v>0</v>
      </c>
      <c r="AR55" s="56">
        <f t="shared" si="1"/>
        <v>0</v>
      </c>
      <c r="AS55" s="56">
        <f t="shared" si="1"/>
        <v>0</v>
      </c>
      <c r="AT55" s="56">
        <f t="shared" si="1"/>
        <v>0</v>
      </c>
      <c r="AU55" s="56">
        <f t="shared" si="1"/>
        <v>0</v>
      </c>
    </row>
  </sheetData>
  <phoneticPr fontId="3"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79998168889431442"/>
  </sheetPr>
  <dimension ref="A1:AU51"/>
  <sheetViews>
    <sheetView zoomScale="85" workbookViewId="0">
      <selection activeCell="F23" sqref="F23"/>
    </sheetView>
  </sheetViews>
  <sheetFormatPr defaultColWidth="8.7265625" defaultRowHeight="14.5"/>
  <cols>
    <col min="1" max="1" width="28.453125" customWidth="1"/>
    <col min="2" max="2" width="20.453125" customWidth="1"/>
    <col min="3" max="3" width="12.7265625" bestFit="1" customWidth="1"/>
    <col min="4" max="10" width="11" bestFit="1" customWidth="1"/>
    <col min="11" max="11" width="8.81640625" bestFit="1" customWidth="1"/>
    <col min="12" max="47" width="11" bestFit="1" customWidth="1"/>
  </cols>
  <sheetData>
    <row r="1" spans="1:47" ht="21">
      <c r="A1" s="106" t="s">
        <v>970</v>
      </c>
    </row>
    <row r="2" spans="1:47" ht="21">
      <c r="A2" s="106"/>
    </row>
    <row r="3" spans="1:47" s="58" customFormat="1">
      <c r="A3" s="155" t="s">
        <v>512</v>
      </c>
    </row>
    <row r="4" spans="1:47" s="54" customFormat="1">
      <c r="B4" s="54" t="s">
        <v>481</v>
      </c>
      <c r="C4" s="54">
        <v>2006</v>
      </c>
      <c r="D4" s="54">
        <v>2007</v>
      </c>
      <c r="E4" s="54">
        <v>2008</v>
      </c>
      <c r="F4" s="54">
        <v>2009</v>
      </c>
      <c r="G4" s="54">
        <v>2010</v>
      </c>
      <c r="H4" s="54">
        <v>2011</v>
      </c>
      <c r="I4" s="54">
        <v>2012</v>
      </c>
      <c r="J4" s="54">
        <v>2013</v>
      </c>
      <c r="K4" s="54">
        <v>2014</v>
      </c>
      <c r="L4" s="54">
        <v>2015</v>
      </c>
      <c r="M4" s="54">
        <v>2016</v>
      </c>
      <c r="N4" s="54">
        <v>2017</v>
      </c>
      <c r="O4" s="54">
        <v>2018</v>
      </c>
      <c r="P4" s="54">
        <v>2019</v>
      </c>
      <c r="Q4" s="54">
        <v>2020</v>
      </c>
      <c r="R4" s="54">
        <v>2021</v>
      </c>
      <c r="S4" s="54">
        <v>2022</v>
      </c>
      <c r="T4" s="54">
        <v>2023</v>
      </c>
      <c r="U4" s="54">
        <v>2024</v>
      </c>
      <c r="V4" s="54">
        <v>2025</v>
      </c>
      <c r="W4" s="54">
        <v>2026</v>
      </c>
      <c r="X4" s="54">
        <v>2027</v>
      </c>
      <c r="Y4" s="54">
        <v>2028</v>
      </c>
      <c r="Z4" s="54">
        <v>2029</v>
      </c>
      <c r="AA4" s="54">
        <v>2030</v>
      </c>
      <c r="AB4" s="54">
        <v>2031</v>
      </c>
      <c r="AC4" s="54">
        <v>2032</v>
      </c>
      <c r="AD4" s="54">
        <v>2033</v>
      </c>
      <c r="AE4" s="54">
        <v>2034</v>
      </c>
      <c r="AF4" s="54">
        <v>2035</v>
      </c>
      <c r="AG4" s="54">
        <v>2036</v>
      </c>
      <c r="AH4" s="54">
        <v>2037</v>
      </c>
      <c r="AI4" s="54">
        <v>2038</v>
      </c>
      <c r="AJ4" s="54">
        <v>2039</v>
      </c>
      <c r="AK4" s="54">
        <v>2040</v>
      </c>
      <c r="AL4" s="54">
        <v>2041</v>
      </c>
      <c r="AM4" s="54">
        <v>2042</v>
      </c>
      <c r="AN4" s="54">
        <v>2043</v>
      </c>
      <c r="AO4" s="54">
        <v>2044</v>
      </c>
      <c r="AP4" s="54">
        <v>2045</v>
      </c>
      <c r="AQ4" s="54">
        <v>2046</v>
      </c>
      <c r="AR4" s="54">
        <v>2047</v>
      </c>
      <c r="AS4" s="54">
        <v>2048</v>
      </c>
      <c r="AT4" s="54">
        <v>2049</v>
      </c>
      <c r="AU4" s="54">
        <v>2050</v>
      </c>
    </row>
    <row r="5" spans="1:47">
      <c r="B5" s="54" t="s">
        <v>958</v>
      </c>
      <c r="C5" s="156">
        <f>Private_2!C5*'BTU Conversion Factor'!$F$4</f>
        <v>1954880138373.8901</v>
      </c>
      <c r="D5" s="156">
        <f>Private_2!D5*'BTU Conversion Factor'!$F$4</f>
        <v>1915117653601.9341</v>
      </c>
      <c r="E5" s="156">
        <f>Private_2!E5*'BTU Conversion Factor'!$F$4</f>
        <v>1847261870578.4094</v>
      </c>
      <c r="F5" s="156">
        <f>Private_2!F5*'BTU Conversion Factor'!$F$4</f>
        <v>1977465126755.5559</v>
      </c>
      <c r="G5" s="156">
        <f>Private_2!G5*'BTU Conversion Factor'!$F$4</f>
        <v>1959179510030.5688</v>
      </c>
      <c r="H5" s="156">
        <f>Private_2!H5*'BTU Conversion Factor'!$F$4</f>
        <v>1995489796872.752</v>
      </c>
      <c r="I5" s="156">
        <f>Private_2!I5*'BTU Conversion Factor'!$F$4</f>
        <v>1997812168669.2144</v>
      </c>
      <c r="J5" s="156">
        <f>Private_2!J5*'BTU Conversion Factor'!$F$4</f>
        <v>1684240251127.9492</v>
      </c>
      <c r="K5" s="156">
        <f>Private_2!K5*'BTU Conversion Factor'!$F$4</f>
        <v>1583996203424.1868</v>
      </c>
      <c r="L5" s="156">
        <f>Private_2!L5*'BTU Conversion Factor'!$F$4</f>
        <v>1354575747800.5864</v>
      </c>
      <c r="M5" s="156">
        <f>Private_2!M5*'BTU Conversion Factor'!$F$4</f>
        <v>1249875967616.2739</v>
      </c>
      <c r="N5" s="156">
        <f>Private_2!N5*'BTU Conversion Factor'!$F$4</f>
        <v>1119956064221.0935</v>
      </c>
      <c r="O5" s="156">
        <f>Private_2!O5*'BTU Conversion Factor'!$F$4</f>
        <v>1132431644315.8821</v>
      </c>
      <c r="P5" s="156">
        <f>Private_2!P5*'BTU Conversion Factor'!$F$4</f>
        <v>1141277016697.6636</v>
      </c>
      <c r="Q5" s="156">
        <f>Private_2!Q5*'BTU Conversion Factor'!$F$4</f>
        <v>1224261658230.2922</v>
      </c>
      <c r="R5" s="156">
        <f>Private_2!R5*'BTU Conversion Factor'!$F$4</f>
        <v>1201065169379.8401</v>
      </c>
      <c r="S5" s="156">
        <f>Private_2!S5*'BTU Conversion Factor'!$F$4</f>
        <v>1834273411712.6187</v>
      </c>
      <c r="T5" s="156">
        <f>Private_2!T5*'BTU Conversion Factor'!$F$4</f>
        <v>1853213892192.0671</v>
      </c>
      <c r="U5" s="156">
        <f>Private_2!U5*'BTU Conversion Factor'!$F$4</f>
        <v>1871003596487.123</v>
      </c>
      <c r="V5" s="156">
        <f>Private_2!V5*'BTU Conversion Factor'!$F$4</f>
        <v>1886629039815.5588</v>
      </c>
      <c r="W5" s="156">
        <f>Private_2!W5*'BTU Conversion Factor'!$F$4</f>
        <v>1903345183021.0557</v>
      </c>
      <c r="X5" s="156">
        <f>Private_2!X5*'BTU Conversion Factor'!$F$4</f>
        <v>1921389851888.5771</v>
      </c>
      <c r="Y5" s="156">
        <f>Private_2!Y5*'BTU Conversion Factor'!$F$4</f>
        <v>1940524686921.6885</v>
      </c>
      <c r="Z5" s="156">
        <f>Private_2!Z5*'BTU Conversion Factor'!$F$4</f>
        <v>1959975020142.7598</v>
      </c>
      <c r="AA5" s="156">
        <f>Private_2!AA5*'BTU Conversion Factor'!$F$4</f>
        <v>1979386535179.6038</v>
      </c>
      <c r="AB5" s="156">
        <f>Private_2!AB5*'BTU Conversion Factor'!$F$4</f>
        <v>1998169337339.928</v>
      </c>
      <c r="AC5" s="156">
        <f>Private_2!AC5*'BTU Conversion Factor'!$F$4</f>
        <v>2016750335045.7126</v>
      </c>
      <c r="AD5" s="156">
        <f>Private_2!AD5*'BTU Conversion Factor'!$F$4</f>
        <v>2035331419376.4175</v>
      </c>
      <c r="AE5" s="156">
        <f>Private_2!AE5*'BTU Conversion Factor'!$F$4</f>
        <v>2054014240002.6204</v>
      </c>
      <c r="AF5" s="156">
        <f>Private_2!AF5*'BTU Conversion Factor'!$F$4</f>
        <v>2073135601018.3689</v>
      </c>
      <c r="AG5" s="156">
        <f>Private_2!AG5*'BTU Conversion Factor'!$F$4</f>
        <v>2090197583961.3777</v>
      </c>
      <c r="AH5" s="156">
        <f>Private_2!AH5*'BTU Conversion Factor'!$F$4</f>
        <v>2107423715777.1462</v>
      </c>
      <c r="AI5" s="156">
        <f>Private_2!AI5*'BTU Conversion Factor'!$F$4</f>
        <v>2123842652246.739</v>
      </c>
      <c r="AJ5" s="156">
        <f>Private_2!AJ5*'BTU Conversion Factor'!$F$4</f>
        <v>2139100589377.9326</v>
      </c>
      <c r="AK5" s="156">
        <f>Private_2!AK5*'BTU Conversion Factor'!$F$4</f>
        <v>2153182349684.5439</v>
      </c>
      <c r="AL5" s="156">
        <f>Private_2!AL5*'BTU Conversion Factor'!$F$4</f>
        <v>2166152366210.5547</v>
      </c>
      <c r="AM5" s="156">
        <f>Private_2!AM5*'BTU Conversion Factor'!$F$4</f>
        <v>2178129554141.6016</v>
      </c>
      <c r="AN5" s="156">
        <f>Private_2!AN5*'BTU Conversion Factor'!$F$4</f>
        <v>2189395409281.4299</v>
      </c>
      <c r="AO5" s="156">
        <f>Private_2!AO5*'BTU Conversion Factor'!$F$4</f>
        <v>2199725358715.4404</v>
      </c>
      <c r="AP5" s="156">
        <f>Private_2!AP5*'BTU Conversion Factor'!$F$4</f>
        <v>2209161223164.0522</v>
      </c>
      <c r="AQ5" s="156">
        <f>Private_2!AQ5*'BTU Conversion Factor'!$F$4</f>
        <v>2217474856639.0156</v>
      </c>
      <c r="AR5" s="156">
        <f>Private_2!AR5*'BTU Conversion Factor'!$F$4</f>
        <v>2267807195554.728</v>
      </c>
      <c r="AS5" s="156">
        <f>Private_2!AS5*'BTU Conversion Factor'!$F$4</f>
        <v>2285793628873.3896</v>
      </c>
      <c r="AT5" s="156">
        <f>Private_2!AT5*'BTU Conversion Factor'!$F$4</f>
        <v>2303854847180.2231</v>
      </c>
      <c r="AU5" s="156">
        <f>Private_2!AU5*'BTU Conversion Factor'!$F$4</f>
        <v>2321988972347.563</v>
      </c>
    </row>
    <row r="6" spans="1:47">
      <c r="B6" s="54" t="s">
        <v>959</v>
      </c>
      <c r="C6" s="156">
        <f>Private_2!C6*'BTU Conversion Factor'!$F$4</f>
        <v>0</v>
      </c>
      <c r="D6" s="156">
        <f>Private_2!D6*'BTU Conversion Factor'!$F$4</f>
        <v>0</v>
      </c>
      <c r="E6" s="156">
        <f>Private_2!E6*'BTU Conversion Factor'!$F$4</f>
        <v>0</v>
      </c>
      <c r="F6" s="156">
        <f>Private_2!F6*'BTU Conversion Factor'!$F$4</f>
        <v>0</v>
      </c>
      <c r="G6" s="156">
        <f>Private_2!G6*'BTU Conversion Factor'!$F$4</f>
        <v>0</v>
      </c>
      <c r="H6" s="156">
        <f>Private_2!H6*'BTU Conversion Factor'!$F$4</f>
        <v>0</v>
      </c>
      <c r="I6" s="156">
        <f>Private_2!I6*'BTU Conversion Factor'!$F$4</f>
        <v>0</v>
      </c>
      <c r="J6" s="156">
        <f>Private_2!J6*'BTU Conversion Factor'!$F$4</f>
        <v>0</v>
      </c>
      <c r="K6" s="156">
        <f>Private_2!K6*'BTU Conversion Factor'!$F$4</f>
        <v>0</v>
      </c>
      <c r="L6" s="156">
        <f>Private_2!L6*'BTU Conversion Factor'!$F$4</f>
        <v>0</v>
      </c>
      <c r="M6" s="156">
        <f>Private_2!M6*'BTU Conversion Factor'!$F$4</f>
        <v>0</v>
      </c>
      <c r="N6" s="156">
        <f>Private_2!N6*'BTU Conversion Factor'!$F$4</f>
        <v>0</v>
      </c>
      <c r="O6" s="156">
        <f>Private_2!O6*'BTU Conversion Factor'!$F$4</f>
        <v>0</v>
      </c>
      <c r="P6" s="156">
        <f>Private_2!P6*'BTU Conversion Factor'!$F$4</f>
        <v>0</v>
      </c>
      <c r="Q6" s="156">
        <f>Private_2!Q6*'BTU Conversion Factor'!$F$4</f>
        <v>0</v>
      </c>
      <c r="R6" s="156">
        <f>Private_2!R6*'BTU Conversion Factor'!$F$4</f>
        <v>0</v>
      </c>
      <c r="S6" s="156">
        <f>Private_2!S6*'BTU Conversion Factor'!$F$4</f>
        <v>0</v>
      </c>
      <c r="T6" s="156">
        <f>Private_2!T6*'BTU Conversion Factor'!$F$4</f>
        <v>0</v>
      </c>
      <c r="U6" s="156">
        <f>Private_2!U6*'BTU Conversion Factor'!$F$4</f>
        <v>0</v>
      </c>
      <c r="V6" s="156">
        <f>Private_2!V6*'BTU Conversion Factor'!$F$4</f>
        <v>0</v>
      </c>
      <c r="W6" s="156">
        <f>Private_2!W6*'BTU Conversion Factor'!$F$4</f>
        <v>0</v>
      </c>
      <c r="X6" s="156">
        <f>Private_2!X6*'BTU Conversion Factor'!$F$4</f>
        <v>0</v>
      </c>
      <c r="Y6" s="156">
        <f>Private_2!Y6*'BTU Conversion Factor'!$F$4</f>
        <v>0</v>
      </c>
      <c r="Z6" s="156">
        <f>Private_2!Z6*'BTU Conversion Factor'!$F$4</f>
        <v>0</v>
      </c>
      <c r="AA6" s="156">
        <f>Private_2!AA6*'BTU Conversion Factor'!$F$4</f>
        <v>0</v>
      </c>
      <c r="AB6" s="156">
        <f>Private_2!AB6*'BTU Conversion Factor'!$F$4</f>
        <v>0</v>
      </c>
      <c r="AC6" s="156">
        <f>Private_2!AC6*'BTU Conversion Factor'!$F$4</f>
        <v>0</v>
      </c>
      <c r="AD6" s="156">
        <f>Private_2!AD6*'BTU Conversion Factor'!$F$4</f>
        <v>0</v>
      </c>
      <c r="AE6" s="156">
        <f>Private_2!AE6*'BTU Conversion Factor'!$F$4</f>
        <v>0</v>
      </c>
      <c r="AF6" s="156">
        <f>Private_2!AF6*'BTU Conversion Factor'!$F$4</f>
        <v>0</v>
      </c>
      <c r="AG6" s="156">
        <f>Private_2!AG6*'BTU Conversion Factor'!$F$4</f>
        <v>0</v>
      </c>
      <c r="AH6" s="156">
        <f>Private_2!AH6*'BTU Conversion Factor'!$F$4</f>
        <v>0</v>
      </c>
      <c r="AI6" s="156">
        <f>Private_2!AI6*'BTU Conversion Factor'!$F$4</f>
        <v>0</v>
      </c>
      <c r="AJ6" s="156">
        <f>Private_2!AJ6*'BTU Conversion Factor'!$F$4</f>
        <v>0</v>
      </c>
      <c r="AK6" s="156">
        <f>Private_2!AK6*'BTU Conversion Factor'!$F$4</f>
        <v>0</v>
      </c>
      <c r="AL6" s="156">
        <f>Private_2!AL6*'BTU Conversion Factor'!$F$4</f>
        <v>0</v>
      </c>
      <c r="AM6" s="156">
        <f>Private_2!AM6*'BTU Conversion Factor'!$F$4</f>
        <v>0</v>
      </c>
      <c r="AN6" s="156">
        <f>Private_2!AN6*'BTU Conversion Factor'!$F$4</f>
        <v>0</v>
      </c>
      <c r="AO6" s="156">
        <f>Private_2!AO6*'BTU Conversion Factor'!$F$4</f>
        <v>0</v>
      </c>
      <c r="AP6" s="156">
        <f>Private_2!AP6*'BTU Conversion Factor'!$F$4</f>
        <v>0</v>
      </c>
      <c r="AQ6" s="156">
        <f>Private_2!AQ6*'BTU Conversion Factor'!$F$4</f>
        <v>0</v>
      </c>
      <c r="AR6" s="156">
        <f>Private_2!AR6*'BTU Conversion Factor'!$F$4</f>
        <v>0</v>
      </c>
      <c r="AS6" s="156">
        <f>Private_2!AS6*'BTU Conversion Factor'!$F$4</f>
        <v>0</v>
      </c>
      <c r="AT6" s="156">
        <f>Private_2!AT6*'BTU Conversion Factor'!$F$4</f>
        <v>0</v>
      </c>
      <c r="AU6" s="156">
        <f>Private_2!AU6*'BTU Conversion Factor'!$F$4</f>
        <v>0</v>
      </c>
    </row>
    <row r="7" spans="1:47">
      <c r="B7" s="54" t="s">
        <v>960</v>
      </c>
      <c r="C7" s="156">
        <f>Private_2!C7*'BTU Conversion Factor'!$F$4</f>
        <v>0</v>
      </c>
      <c r="D7" s="156">
        <f>Private_2!D7*'BTU Conversion Factor'!$F$4</f>
        <v>0</v>
      </c>
      <c r="E7" s="156">
        <f>Private_2!E7*'BTU Conversion Factor'!$F$4</f>
        <v>0</v>
      </c>
      <c r="F7" s="156">
        <f>Private_2!F7*'BTU Conversion Factor'!$F$4</f>
        <v>0</v>
      </c>
      <c r="G7" s="156">
        <f>Private_2!G7*'BTU Conversion Factor'!$F$4</f>
        <v>0</v>
      </c>
      <c r="H7" s="156">
        <f>Private_2!H7*'BTU Conversion Factor'!$F$4</f>
        <v>0</v>
      </c>
      <c r="I7" s="156">
        <f>Private_2!I7*'BTU Conversion Factor'!$F$4</f>
        <v>0</v>
      </c>
      <c r="J7" s="156">
        <f>Private_2!J7*'BTU Conversion Factor'!$F$4</f>
        <v>0</v>
      </c>
      <c r="K7" s="156">
        <f>Private_2!K7*'BTU Conversion Factor'!$F$4</f>
        <v>0</v>
      </c>
      <c r="L7" s="156">
        <f>Private_2!L7*'BTU Conversion Factor'!$F$4</f>
        <v>0</v>
      </c>
      <c r="M7" s="156">
        <f>Private_2!M7*'BTU Conversion Factor'!$F$4</f>
        <v>0</v>
      </c>
      <c r="N7" s="156">
        <f>Private_2!N7*'BTU Conversion Factor'!$F$4</f>
        <v>0</v>
      </c>
      <c r="O7" s="156">
        <f>Private_2!O7*'BTU Conversion Factor'!$F$4</f>
        <v>0</v>
      </c>
      <c r="P7" s="156">
        <f>Private_2!P7*'BTU Conversion Factor'!$F$4</f>
        <v>0</v>
      </c>
      <c r="Q7" s="156">
        <f>Private_2!Q7*'BTU Conversion Factor'!$F$4</f>
        <v>0</v>
      </c>
      <c r="R7" s="156">
        <f>Private_2!R7*'BTU Conversion Factor'!$F$4</f>
        <v>0</v>
      </c>
      <c r="S7" s="156">
        <f>Private_2!S7*'BTU Conversion Factor'!$F$4</f>
        <v>0</v>
      </c>
      <c r="T7" s="156">
        <f>Private_2!T7*'BTU Conversion Factor'!$F$4</f>
        <v>0</v>
      </c>
      <c r="U7" s="156">
        <f>Private_2!U7*'BTU Conversion Factor'!$F$4</f>
        <v>0</v>
      </c>
      <c r="V7" s="156">
        <f>Private_2!V7*'BTU Conversion Factor'!$F$4</f>
        <v>0</v>
      </c>
      <c r="W7" s="156">
        <f>Private_2!W7*'BTU Conversion Factor'!$F$4</f>
        <v>0</v>
      </c>
      <c r="X7" s="156">
        <f>Private_2!X7*'BTU Conversion Factor'!$F$4</f>
        <v>0</v>
      </c>
      <c r="Y7" s="156">
        <f>Private_2!Y7*'BTU Conversion Factor'!$F$4</f>
        <v>0</v>
      </c>
      <c r="Z7" s="156">
        <f>Private_2!Z7*'BTU Conversion Factor'!$F$4</f>
        <v>0</v>
      </c>
      <c r="AA7" s="156">
        <f>Private_2!AA7*'BTU Conversion Factor'!$F$4</f>
        <v>0</v>
      </c>
      <c r="AB7" s="156">
        <f>Private_2!AB7*'BTU Conversion Factor'!$F$4</f>
        <v>0</v>
      </c>
      <c r="AC7" s="156">
        <f>Private_2!AC7*'BTU Conversion Factor'!$F$4</f>
        <v>0</v>
      </c>
      <c r="AD7" s="156">
        <f>Private_2!AD7*'BTU Conversion Factor'!$F$4</f>
        <v>0</v>
      </c>
      <c r="AE7" s="156">
        <f>Private_2!AE7*'BTU Conversion Factor'!$F$4</f>
        <v>0</v>
      </c>
      <c r="AF7" s="156">
        <f>Private_2!AF7*'BTU Conversion Factor'!$F$4</f>
        <v>0</v>
      </c>
      <c r="AG7" s="156">
        <f>Private_2!AG7*'BTU Conversion Factor'!$F$4</f>
        <v>0</v>
      </c>
      <c r="AH7" s="156">
        <f>Private_2!AH7*'BTU Conversion Factor'!$F$4</f>
        <v>0</v>
      </c>
      <c r="AI7" s="156">
        <f>Private_2!AI7*'BTU Conversion Factor'!$F$4</f>
        <v>0</v>
      </c>
      <c r="AJ7" s="156">
        <f>Private_2!AJ7*'BTU Conversion Factor'!$F$4</f>
        <v>0</v>
      </c>
      <c r="AK7" s="156">
        <f>Private_2!AK7*'BTU Conversion Factor'!$F$4</f>
        <v>0</v>
      </c>
      <c r="AL7" s="156">
        <f>Private_2!AL7*'BTU Conversion Factor'!$F$4</f>
        <v>0</v>
      </c>
      <c r="AM7" s="156">
        <f>Private_2!AM7*'BTU Conversion Factor'!$F$4</f>
        <v>0</v>
      </c>
      <c r="AN7" s="156">
        <f>Private_2!AN7*'BTU Conversion Factor'!$F$4</f>
        <v>0</v>
      </c>
      <c r="AO7" s="156">
        <f>Private_2!AO7*'BTU Conversion Factor'!$F$4</f>
        <v>0</v>
      </c>
      <c r="AP7" s="156">
        <f>Private_2!AP7*'BTU Conversion Factor'!$F$4</f>
        <v>0</v>
      </c>
      <c r="AQ7" s="156">
        <f>Private_2!AQ7*'BTU Conversion Factor'!$F$4</f>
        <v>0</v>
      </c>
      <c r="AR7" s="156">
        <f>Private_2!AR7*'BTU Conversion Factor'!$F$4</f>
        <v>0</v>
      </c>
      <c r="AS7" s="156">
        <f>Private_2!AS7*'BTU Conversion Factor'!$F$4</f>
        <v>0</v>
      </c>
      <c r="AT7" s="156">
        <f>Private_2!AT7*'BTU Conversion Factor'!$F$4</f>
        <v>0</v>
      </c>
      <c r="AU7" s="156">
        <f>Private_2!AU7*'BTU Conversion Factor'!$F$4</f>
        <v>0</v>
      </c>
    </row>
    <row r="8" spans="1:47">
      <c r="B8" s="54" t="s">
        <v>961</v>
      </c>
      <c r="C8" s="156">
        <f>Private_2!C8*'BTU Conversion Factor'!$F$4</f>
        <v>0</v>
      </c>
      <c r="D8" s="156">
        <f>Private_2!D8*'BTU Conversion Factor'!$F$4</f>
        <v>0</v>
      </c>
      <c r="E8" s="156">
        <f>Private_2!E8*'BTU Conversion Factor'!$F$4</f>
        <v>0</v>
      </c>
      <c r="F8" s="156">
        <f>Private_2!F8*'BTU Conversion Factor'!$F$4</f>
        <v>0</v>
      </c>
      <c r="G8" s="156">
        <f>Private_2!G8*'BTU Conversion Factor'!$F$4</f>
        <v>0</v>
      </c>
      <c r="H8" s="156">
        <f>Private_2!H8*'BTU Conversion Factor'!$F$4</f>
        <v>0</v>
      </c>
      <c r="I8" s="156">
        <f>Private_2!I8*'BTU Conversion Factor'!$F$4</f>
        <v>0</v>
      </c>
      <c r="J8" s="156">
        <f>Private_2!J8*'BTU Conversion Factor'!$F$4</f>
        <v>0</v>
      </c>
      <c r="K8" s="156">
        <f>Private_2!K8*'BTU Conversion Factor'!$F$4</f>
        <v>0</v>
      </c>
      <c r="L8" s="156">
        <f>Private_2!L8*'BTU Conversion Factor'!$F$4</f>
        <v>0</v>
      </c>
      <c r="M8" s="156">
        <f>Private_2!M8*'BTU Conversion Factor'!$F$4</f>
        <v>0</v>
      </c>
      <c r="N8" s="156">
        <f>Private_2!N8*'BTU Conversion Factor'!$F$4</f>
        <v>0</v>
      </c>
      <c r="O8" s="156">
        <f>Private_2!O8*'BTU Conversion Factor'!$F$4</f>
        <v>0</v>
      </c>
      <c r="P8" s="156">
        <f>Private_2!P8*'BTU Conversion Factor'!$F$4</f>
        <v>0</v>
      </c>
      <c r="Q8" s="156">
        <f>Private_2!Q8*'BTU Conversion Factor'!$F$4</f>
        <v>0</v>
      </c>
      <c r="R8" s="156">
        <f>Private_2!R8*'BTU Conversion Factor'!$F$4</f>
        <v>0</v>
      </c>
      <c r="S8" s="156">
        <f>Private_2!S8*'BTU Conversion Factor'!$F$4</f>
        <v>0</v>
      </c>
      <c r="T8" s="156">
        <f>Private_2!T8*'BTU Conversion Factor'!$F$4</f>
        <v>0</v>
      </c>
      <c r="U8" s="156">
        <f>Private_2!U8*'BTU Conversion Factor'!$F$4</f>
        <v>0</v>
      </c>
      <c r="V8" s="156">
        <f>Private_2!V8*'BTU Conversion Factor'!$F$4</f>
        <v>0</v>
      </c>
      <c r="W8" s="156">
        <f>Private_2!W8*'BTU Conversion Factor'!$F$4</f>
        <v>0</v>
      </c>
      <c r="X8" s="156">
        <f>Private_2!X8*'BTU Conversion Factor'!$F$4</f>
        <v>0</v>
      </c>
      <c r="Y8" s="156">
        <f>Private_2!Y8*'BTU Conversion Factor'!$F$4</f>
        <v>0</v>
      </c>
      <c r="Z8" s="156">
        <f>Private_2!Z8*'BTU Conversion Factor'!$F$4</f>
        <v>0</v>
      </c>
      <c r="AA8" s="156">
        <f>Private_2!AA8*'BTU Conversion Factor'!$F$4</f>
        <v>0</v>
      </c>
      <c r="AB8" s="156">
        <f>Private_2!AB8*'BTU Conversion Factor'!$F$4</f>
        <v>0</v>
      </c>
      <c r="AC8" s="156">
        <f>Private_2!AC8*'BTU Conversion Factor'!$F$4</f>
        <v>0</v>
      </c>
      <c r="AD8" s="156">
        <f>Private_2!AD8*'BTU Conversion Factor'!$F$4</f>
        <v>0</v>
      </c>
      <c r="AE8" s="156">
        <f>Private_2!AE8*'BTU Conversion Factor'!$F$4</f>
        <v>0</v>
      </c>
      <c r="AF8" s="156">
        <f>Private_2!AF8*'BTU Conversion Factor'!$F$4</f>
        <v>0</v>
      </c>
      <c r="AG8" s="156">
        <f>Private_2!AG8*'BTU Conversion Factor'!$F$4</f>
        <v>0</v>
      </c>
      <c r="AH8" s="156">
        <f>Private_2!AH8*'BTU Conversion Factor'!$F$4</f>
        <v>0</v>
      </c>
      <c r="AI8" s="156">
        <f>Private_2!AI8*'BTU Conversion Factor'!$F$4</f>
        <v>0</v>
      </c>
      <c r="AJ8" s="156">
        <f>Private_2!AJ8*'BTU Conversion Factor'!$F$4</f>
        <v>0</v>
      </c>
      <c r="AK8" s="156">
        <f>Private_2!AK8*'BTU Conversion Factor'!$F$4</f>
        <v>0</v>
      </c>
      <c r="AL8" s="156">
        <f>Private_2!AL8*'BTU Conversion Factor'!$F$4</f>
        <v>0</v>
      </c>
      <c r="AM8" s="156">
        <f>Private_2!AM8*'BTU Conversion Factor'!$F$4</f>
        <v>0</v>
      </c>
      <c r="AN8" s="156">
        <f>Private_2!AN8*'BTU Conversion Factor'!$F$4</f>
        <v>0</v>
      </c>
      <c r="AO8" s="156">
        <f>Private_2!AO8*'BTU Conversion Factor'!$F$4</f>
        <v>0</v>
      </c>
      <c r="AP8" s="156">
        <f>Private_2!AP8*'BTU Conversion Factor'!$F$4</f>
        <v>0</v>
      </c>
      <c r="AQ8" s="156">
        <f>Private_2!AQ8*'BTU Conversion Factor'!$F$4</f>
        <v>0</v>
      </c>
      <c r="AR8" s="156">
        <f>Private_2!AR8*'BTU Conversion Factor'!$F$4</f>
        <v>0</v>
      </c>
      <c r="AS8" s="156">
        <f>Private_2!AS8*'BTU Conversion Factor'!$F$4</f>
        <v>0</v>
      </c>
      <c r="AT8" s="156">
        <f>Private_2!AT8*'BTU Conversion Factor'!$F$4</f>
        <v>0</v>
      </c>
      <c r="AU8" s="156">
        <f>Private_2!AU8*'BTU Conversion Factor'!$F$4</f>
        <v>0</v>
      </c>
    </row>
    <row r="9" spans="1:47">
      <c r="B9" s="54" t="s">
        <v>962</v>
      </c>
      <c r="C9" s="156">
        <f>Private_2!C9*'BTU Conversion Factor'!$F$4</f>
        <v>0</v>
      </c>
      <c r="D9" s="156">
        <f>Private_2!D9*'BTU Conversion Factor'!$F$4</f>
        <v>0</v>
      </c>
      <c r="E9" s="156">
        <f>Private_2!E9*'BTU Conversion Factor'!$F$4</f>
        <v>0</v>
      </c>
      <c r="F9" s="156">
        <f>Private_2!F9*'BTU Conversion Factor'!$F$4</f>
        <v>0</v>
      </c>
      <c r="G9" s="156">
        <f>Private_2!G9*'BTU Conversion Factor'!$F$4</f>
        <v>0</v>
      </c>
      <c r="H9" s="156">
        <f>Private_2!H9*'BTU Conversion Factor'!$F$4</f>
        <v>0</v>
      </c>
      <c r="I9" s="156">
        <f>Private_2!I9*'BTU Conversion Factor'!$F$4</f>
        <v>0</v>
      </c>
      <c r="J9" s="156">
        <f>Private_2!J9*'BTU Conversion Factor'!$F$4</f>
        <v>0</v>
      </c>
      <c r="K9" s="156">
        <f>Private_2!K9*'BTU Conversion Factor'!$F$4</f>
        <v>0</v>
      </c>
      <c r="L9" s="156">
        <f>Private_2!L9*'BTU Conversion Factor'!$F$4</f>
        <v>0</v>
      </c>
      <c r="M9" s="156">
        <f>Private_2!M9*'BTU Conversion Factor'!$F$4</f>
        <v>0</v>
      </c>
      <c r="N9" s="156">
        <f>Private_2!N9*'BTU Conversion Factor'!$F$4</f>
        <v>0</v>
      </c>
      <c r="O9" s="156">
        <f>Private_2!O9*'BTU Conversion Factor'!$F$4</f>
        <v>0</v>
      </c>
      <c r="P9" s="156">
        <f>Private_2!P9*'BTU Conversion Factor'!$F$4</f>
        <v>0</v>
      </c>
      <c r="Q9" s="156">
        <f>Private_2!Q9*'BTU Conversion Factor'!$F$4</f>
        <v>0</v>
      </c>
      <c r="R9" s="156">
        <f>Private_2!R9*'BTU Conversion Factor'!$F$4</f>
        <v>0</v>
      </c>
      <c r="S9" s="156">
        <f>Private_2!S9*'BTU Conversion Factor'!$F$4</f>
        <v>0</v>
      </c>
      <c r="T9" s="156">
        <f>Private_2!T9*'BTU Conversion Factor'!$F$4</f>
        <v>0</v>
      </c>
      <c r="U9" s="156">
        <f>Private_2!U9*'BTU Conversion Factor'!$F$4</f>
        <v>0</v>
      </c>
      <c r="V9" s="156">
        <f>Private_2!V9*'BTU Conversion Factor'!$F$4</f>
        <v>0</v>
      </c>
      <c r="W9" s="156">
        <f>Private_2!W9*'BTU Conversion Factor'!$F$4</f>
        <v>0</v>
      </c>
      <c r="X9" s="156">
        <f>Private_2!X9*'BTU Conversion Factor'!$F$4</f>
        <v>0</v>
      </c>
      <c r="Y9" s="156">
        <f>Private_2!Y9*'BTU Conversion Factor'!$F$4</f>
        <v>0</v>
      </c>
      <c r="Z9" s="156">
        <f>Private_2!Z9*'BTU Conversion Factor'!$F$4</f>
        <v>0</v>
      </c>
      <c r="AA9" s="156">
        <f>Private_2!AA9*'BTU Conversion Factor'!$F$4</f>
        <v>0</v>
      </c>
      <c r="AB9" s="156">
        <f>Private_2!AB9*'BTU Conversion Factor'!$F$4</f>
        <v>0</v>
      </c>
      <c r="AC9" s="156">
        <f>Private_2!AC9*'BTU Conversion Factor'!$F$4</f>
        <v>0</v>
      </c>
      <c r="AD9" s="156">
        <f>Private_2!AD9*'BTU Conversion Factor'!$F$4</f>
        <v>0</v>
      </c>
      <c r="AE9" s="156">
        <f>Private_2!AE9*'BTU Conversion Factor'!$F$4</f>
        <v>0</v>
      </c>
      <c r="AF9" s="156">
        <f>Private_2!AF9*'BTU Conversion Factor'!$F$4</f>
        <v>0</v>
      </c>
      <c r="AG9" s="156">
        <f>Private_2!AG9*'BTU Conversion Factor'!$F$4</f>
        <v>0</v>
      </c>
      <c r="AH9" s="156">
        <f>Private_2!AH9*'BTU Conversion Factor'!$F$4</f>
        <v>0</v>
      </c>
      <c r="AI9" s="156">
        <f>Private_2!AI9*'BTU Conversion Factor'!$F$4</f>
        <v>0</v>
      </c>
      <c r="AJ9" s="156">
        <f>Private_2!AJ9*'BTU Conversion Factor'!$F$4</f>
        <v>0</v>
      </c>
      <c r="AK9" s="156">
        <f>Private_2!AK9*'BTU Conversion Factor'!$F$4</f>
        <v>0</v>
      </c>
      <c r="AL9" s="156">
        <f>Private_2!AL9*'BTU Conversion Factor'!$F$4</f>
        <v>0</v>
      </c>
      <c r="AM9" s="156">
        <f>Private_2!AM9*'BTU Conversion Factor'!$F$4</f>
        <v>0</v>
      </c>
      <c r="AN9" s="156">
        <f>Private_2!AN9*'BTU Conversion Factor'!$F$4</f>
        <v>0</v>
      </c>
      <c r="AO9" s="156">
        <f>Private_2!AO9*'BTU Conversion Factor'!$F$4</f>
        <v>0</v>
      </c>
      <c r="AP9" s="156">
        <f>Private_2!AP9*'BTU Conversion Factor'!$F$4</f>
        <v>0</v>
      </c>
      <c r="AQ9" s="156">
        <f>Private_2!AQ9*'BTU Conversion Factor'!$F$4</f>
        <v>0</v>
      </c>
      <c r="AR9" s="156">
        <f>Private_2!AR9*'BTU Conversion Factor'!$F$4</f>
        <v>0</v>
      </c>
      <c r="AS9" s="156">
        <f>Private_2!AS9*'BTU Conversion Factor'!$F$4</f>
        <v>0</v>
      </c>
      <c r="AT9" s="156">
        <f>Private_2!AT9*'BTU Conversion Factor'!$F$4</f>
        <v>0</v>
      </c>
      <c r="AU9" s="156">
        <f>Private_2!AU9*'BTU Conversion Factor'!$F$4</f>
        <v>0</v>
      </c>
    </row>
    <row r="10" spans="1:47">
      <c r="B10" s="54" t="s">
        <v>963</v>
      </c>
      <c r="C10" s="156">
        <f>Private_2!C10*'BTU Conversion Factor'!$F$4</f>
        <v>0</v>
      </c>
      <c r="D10" s="156">
        <f>Private_2!D10*'BTU Conversion Factor'!$F$4</f>
        <v>0</v>
      </c>
      <c r="E10" s="156">
        <f>Private_2!E10*'BTU Conversion Factor'!$F$4</f>
        <v>0</v>
      </c>
      <c r="F10" s="156">
        <f>Private_2!F10*'BTU Conversion Factor'!$F$4</f>
        <v>0</v>
      </c>
      <c r="G10" s="156">
        <f>Private_2!G10*'BTU Conversion Factor'!$F$4</f>
        <v>0</v>
      </c>
      <c r="H10" s="156">
        <f>Private_2!H10*'BTU Conversion Factor'!$F$4</f>
        <v>0</v>
      </c>
      <c r="I10" s="156">
        <f>Private_2!I10*'BTU Conversion Factor'!$F$4</f>
        <v>0</v>
      </c>
      <c r="J10" s="156">
        <f>Private_2!J10*'BTU Conversion Factor'!$F$4</f>
        <v>0</v>
      </c>
      <c r="K10" s="156">
        <f>Private_2!K10*'BTU Conversion Factor'!$F$4</f>
        <v>0</v>
      </c>
      <c r="L10" s="156">
        <f>Private_2!L10*'BTU Conversion Factor'!$F$4</f>
        <v>0</v>
      </c>
      <c r="M10" s="156">
        <f>Private_2!M10*'BTU Conversion Factor'!$F$4</f>
        <v>0</v>
      </c>
      <c r="N10" s="156">
        <f>Private_2!N10*'BTU Conversion Factor'!$F$4</f>
        <v>0</v>
      </c>
      <c r="O10" s="156">
        <f>Private_2!O10*'BTU Conversion Factor'!$F$4</f>
        <v>0</v>
      </c>
      <c r="P10" s="156">
        <f>Private_2!P10*'BTU Conversion Factor'!$F$4</f>
        <v>0</v>
      </c>
      <c r="Q10" s="156">
        <f>Private_2!Q10*'BTU Conversion Factor'!$F$4</f>
        <v>0</v>
      </c>
      <c r="R10" s="156">
        <f>Private_2!R10*'BTU Conversion Factor'!$F$4</f>
        <v>0</v>
      </c>
      <c r="S10" s="156">
        <f>Private_2!S10*'BTU Conversion Factor'!$F$4</f>
        <v>0</v>
      </c>
      <c r="T10" s="156">
        <f>Private_2!T10*'BTU Conversion Factor'!$F$4</f>
        <v>0</v>
      </c>
      <c r="U10" s="156">
        <f>Private_2!U10*'BTU Conversion Factor'!$F$4</f>
        <v>0</v>
      </c>
      <c r="V10" s="156">
        <f>Private_2!V10*'BTU Conversion Factor'!$F$4</f>
        <v>0</v>
      </c>
      <c r="W10" s="156">
        <f>Private_2!W10*'BTU Conversion Factor'!$F$4</f>
        <v>0</v>
      </c>
      <c r="X10" s="156">
        <f>Private_2!X10*'BTU Conversion Factor'!$F$4</f>
        <v>0</v>
      </c>
      <c r="Y10" s="156">
        <f>Private_2!Y10*'BTU Conversion Factor'!$F$4</f>
        <v>0</v>
      </c>
      <c r="Z10" s="156">
        <f>Private_2!Z10*'BTU Conversion Factor'!$F$4</f>
        <v>0</v>
      </c>
      <c r="AA10" s="156">
        <f>Private_2!AA10*'BTU Conversion Factor'!$F$4</f>
        <v>0</v>
      </c>
      <c r="AB10" s="156">
        <f>Private_2!AB10*'BTU Conversion Factor'!$F$4</f>
        <v>0</v>
      </c>
      <c r="AC10" s="156">
        <f>Private_2!AC10*'BTU Conversion Factor'!$F$4</f>
        <v>0</v>
      </c>
      <c r="AD10" s="156">
        <f>Private_2!AD10*'BTU Conversion Factor'!$F$4</f>
        <v>0</v>
      </c>
      <c r="AE10" s="156">
        <f>Private_2!AE10*'BTU Conversion Factor'!$F$4</f>
        <v>0</v>
      </c>
      <c r="AF10" s="156">
        <f>Private_2!AF10*'BTU Conversion Factor'!$F$4</f>
        <v>0</v>
      </c>
      <c r="AG10" s="156">
        <f>Private_2!AG10*'BTU Conversion Factor'!$F$4</f>
        <v>0</v>
      </c>
      <c r="AH10" s="156">
        <f>Private_2!AH10*'BTU Conversion Factor'!$F$4</f>
        <v>0</v>
      </c>
      <c r="AI10" s="156">
        <f>Private_2!AI10*'BTU Conversion Factor'!$F$4</f>
        <v>0</v>
      </c>
      <c r="AJ10" s="156">
        <f>Private_2!AJ10*'BTU Conversion Factor'!$F$4</f>
        <v>0</v>
      </c>
      <c r="AK10" s="156">
        <f>Private_2!AK10*'BTU Conversion Factor'!$F$4</f>
        <v>0</v>
      </c>
      <c r="AL10" s="156">
        <f>Private_2!AL10*'BTU Conversion Factor'!$F$4</f>
        <v>0</v>
      </c>
      <c r="AM10" s="156">
        <f>Private_2!AM10*'BTU Conversion Factor'!$F$4</f>
        <v>0</v>
      </c>
      <c r="AN10" s="156">
        <f>Private_2!AN10*'BTU Conversion Factor'!$F$4</f>
        <v>0</v>
      </c>
      <c r="AO10" s="156">
        <f>Private_2!AO10*'BTU Conversion Factor'!$F$4</f>
        <v>0</v>
      </c>
      <c r="AP10" s="156">
        <f>Private_2!AP10*'BTU Conversion Factor'!$F$4</f>
        <v>0</v>
      </c>
      <c r="AQ10" s="156">
        <f>Private_2!AQ10*'BTU Conversion Factor'!$F$4</f>
        <v>0</v>
      </c>
      <c r="AR10" s="156">
        <f>Private_2!AR10*'BTU Conversion Factor'!$F$4</f>
        <v>0</v>
      </c>
      <c r="AS10" s="156">
        <f>Private_2!AS10*'BTU Conversion Factor'!$F$4</f>
        <v>0</v>
      </c>
      <c r="AT10" s="156">
        <f>Private_2!AT10*'BTU Conversion Factor'!$F$4</f>
        <v>0</v>
      </c>
      <c r="AU10" s="156">
        <f>Private_2!AU10*'BTU Conversion Factor'!$F$4</f>
        <v>0</v>
      </c>
    </row>
    <row r="12" spans="1:47" s="58" customFormat="1">
      <c r="A12" s="108" t="s">
        <v>937</v>
      </c>
    </row>
    <row r="13" spans="1:47" s="54" customFormat="1">
      <c r="B13" s="54" t="s">
        <v>481</v>
      </c>
      <c r="C13" s="54">
        <v>2006</v>
      </c>
      <c r="D13" s="54">
        <v>2007</v>
      </c>
      <c r="E13" s="54">
        <v>2008</v>
      </c>
      <c r="F13" s="54">
        <v>2009</v>
      </c>
      <c r="G13" s="54">
        <v>2010</v>
      </c>
      <c r="H13" s="54">
        <v>2011</v>
      </c>
      <c r="I13" s="54">
        <v>2012</v>
      </c>
      <c r="J13" s="54">
        <v>2013</v>
      </c>
      <c r="K13" s="54">
        <v>2014</v>
      </c>
      <c r="L13" s="54">
        <v>2015</v>
      </c>
      <c r="M13" s="54">
        <v>2016</v>
      </c>
      <c r="N13" s="54">
        <v>2017</v>
      </c>
      <c r="O13" s="54">
        <v>2018</v>
      </c>
      <c r="P13" s="54">
        <v>2019</v>
      </c>
      <c r="Q13" s="54">
        <v>2020</v>
      </c>
      <c r="R13" s="54">
        <v>2021</v>
      </c>
      <c r="S13" s="54">
        <v>2022</v>
      </c>
      <c r="T13" s="54">
        <v>2023</v>
      </c>
      <c r="U13" s="54">
        <v>2024</v>
      </c>
      <c r="V13" s="54">
        <v>2025</v>
      </c>
      <c r="W13" s="54">
        <v>2026</v>
      </c>
      <c r="X13" s="54">
        <v>2027</v>
      </c>
      <c r="Y13" s="54">
        <v>2028</v>
      </c>
      <c r="Z13" s="54">
        <v>2029</v>
      </c>
      <c r="AA13" s="54">
        <v>2030</v>
      </c>
      <c r="AB13" s="54">
        <v>2031</v>
      </c>
      <c r="AC13" s="54">
        <v>2032</v>
      </c>
      <c r="AD13" s="54">
        <v>2033</v>
      </c>
      <c r="AE13" s="54">
        <v>2034</v>
      </c>
      <c r="AF13" s="54">
        <v>2035</v>
      </c>
      <c r="AG13" s="54">
        <v>2036</v>
      </c>
      <c r="AH13" s="54">
        <v>2037</v>
      </c>
      <c r="AI13" s="54">
        <v>2038</v>
      </c>
      <c r="AJ13" s="54">
        <v>2039</v>
      </c>
      <c r="AK13" s="54">
        <v>2040</v>
      </c>
      <c r="AL13" s="54">
        <v>2041</v>
      </c>
      <c r="AM13" s="54">
        <v>2042</v>
      </c>
      <c r="AN13" s="54">
        <v>2043</v>
      </c>
      <c r="AO13" s="54">
        <v>2044</v>
      </c>
      <c r="AP13" s="54">
        <v>2045</v>
      </c>
      <c r="AQ13" s="54">
        <v>2046</v>
      </c>
      <c r="AR13" s="54">
        <v>2047</v>
      </c>
      <c r="AS13" s="54">
        <v>2048</v>
      </c>
      <c r="AT13" s="54">
        <v>2049</v>
      </c>
      <c r="AU13" s="54">
        <v>2050</v>
      </c>
    </row>
    <row r="14" spans="1:47">
      <c r="B14" s="54" t="s">
        <v>958</v>
      </c>
      <c r="C14" s="156">
        <f>Private_2!C14*'BTU Conversion Factor'!$F$4</f>
        <v>5571590413000.4443</v>
      </c>
      <c r="D14" s="156">
        <f>Private_2!D14*'BTU Conversion Factor'!$F$4</f>
        <v>5632269823164.5439</v>
      </c>
      <c r="E14" s="156">
        <f>Private_2!E14*'BTU Conversion Factor'!$F$4</f>
        <v>5609203928179.6963</v>
      </c>
      <c r="F14" s="156">
        <f>Private_2!F14*'BTU Conversion Factor'!$F$4</f>
        <v>6150491441777.7783</v>
      </c>
      <c r="G14" s="156">
        <f>Private_2!G14*'BTU Conversion Factor'!$F$4</f>
        <v>6250844084114.9795</v>
      </c>
      <c r="H14" s="156">
        <f>Private_2!H14*'BTU Conversion Factor'!$F$4</f>
        <v>6519746836334.25</v>
      </c>
      <c r="I14" s="156">
        <f>Private_2!I14*'BTU Conversion Factor'!$F$4</f>
        <v>6662993120507.2891</v>
      </c>
      <c r="J14" s="156">
        <f>Private_2!J14*'BTU Conversion Factor'!$F$4</f>
        <v>6213893861418.6982</v>
      </c>
      <c r="K14" s="156">
        <f>Private_2!K14*'BTU Conversion Factor'!$F$4</f>
        <v>7523981966264.8877</v>
      </c>
      <c r="L14" s="156">
        <f>Private_2!L14*'BTU Conversion Factor'!$F$4</f>
        <v>7265944311202.3447</v>
      </c>
      <c r="M14" s="156">
        <f>Private_2!M14*'BTU Conversion Factor'!$F$4</f>
        <v>7543667642110.4033</v>
      </c>
      <c r="N14" s="156">
        <f>Private_2!N14*'BTU Conversion Factor'!$F$4</f>
        <v>7530327536725.9268</v>
      </c>
      <c r="O14" s="156">
        <f>Private_2!O14*'BTU Conversion Factor'!$F$4</f>
        <v>7539189558874.3984</v>
      </c>
      <c r="P14" s="156">
        <f>Private_2!P14*'BTU Conversion Factor'!$F$4</f>
        <v>7558772557724.7988</v>
      </c>
      <c r="Q14" s="156">
        <f>Private_2!Q14*'BTU Conversion Factor'!$F$4</f>
        <v>8585598613816.5264</v>
      </c>
      <c r="R14" s="156">
        <f>Private_2!R14*'BTU Conversion Factor'!$F$4</f>
        <v>8593939786131.3848</v>
      </c>
      <c r="S14" s="156">
        <f>Private_2!S14*'BTU Conversion Factor'!$F$4</f>
        <v>9120951322665.5195</v>
      </c>
      <c r="T14" s="156">
        <f>Private_2!T14*'BTU Conversion Factor'!$F$4</f>
        <v>9383345101997.9355</v>
      </c>
      <c r="U14" s="156">
        <f>Private_2!U14*'BTU Conversion Factor'!$F$4</f>
        <v>9643246091054.625</v>
      </c>
      <c r="V14" s="156">
        <f>Private_2!V14*'BTU Conversion Factor'!$F$4</f>
        <v>9895025386983.709</v>
      </c>
      <c r="W14" s="156">
        <f>Private_2!W14*'BTU Conversion Factor'!$F$4</f>
        <v>10155460776377.994</v>
      </c>
      <c r="X14" s="156">
        <f>Private_2!X14*'BTU Conversion Factor'!$F$4</f>
        <v>10426139786883.334</v>
      </c>
      <c r="Y14" s="156">
        <f>Private_2!Y14*'BTU Conversion Factor'!$F$4</f>
        <v>10706109122021.248</v>
      </c>
      <c r="Z14" s="156">
        <f>Private_2!Z14*'BTU Conversion Factor'!$F$4</f>
        <v>10991321385772.902</v>
      </c>
      <c r="AA14" s="156">
        <f>Private_2!AA14*'BTU Conversion Factor'!$F$4</f>
        <v>11279843362080.324</v>
      </c>
      <c r="AB14" s="156">
        <f>Private_2!AB14*'BTU Conversion Factor'!$F$4</f>
        <v>11568249330197.811</v>
      </c>
      <c r="AC14" s="156">
        <f>Private_2!AC14*'BTU Conversion Factor'!$F$4</f>
        <v>11858878392978.85</v>
      </c>
      <c r="AD14" s="156">
        <f>Private_2!AD14*'BTU Conversion Factor'!$F$4</f>
        <v>12152881081864.504</v>
      </c>
      <c r="AE14" s="156">
        <f>Private_2!AE14*'BTU Conversion Factor'!$F$4</f>
        <v>12450873592996.531</v>
      </c>
      <c r="AF14" s="156">
        <f>Private_2!AF14*'BTU Conversion Factor'!$F$4</f>
        <v>12754955814890.055</v>
      </c>
      <c r="AG14" s="156">
        <f>Private_2!AG14*'BTU Conversion Factor'!$F$4</f>
        <v>13049652003017.311</v>
      </c>
      <c r="AH14" s="156">
        <f>Private_2!AH14*'BTU Conversion Factor'!$F$4</f>
        <v>13348485268963.693</v>
      </c>
      <c r="AI14" s="156">
        <f>Private_2!AI14*'BTU Conversion Factor'!$F$4</f>
        <v>13645259620765.777</v>
      </c>
      <c r="AJ14" s="156">
        <f>Private_2!AJ14*'BTU Conversion Factor'!$F$4</f>
        <v>13937450023537.975</v>
      </c>
      <c r="AK14" s="156">
        <f>Private_2!AK14*'BTU Conversion Factor'!$F$4</f>
        <v>14224640066028.596</v>
      </c>
      <c r="AL14" s="156">
        <f>Private_2!AL14*'BTU Conversion Factor'!$F$4</f>
        <v>14506940986237.748</v>
      </c>
      <c r="AM14" s="156">
        <f>Private_2!AM14*'BTU Conversion Factor'!$F$4</f>
        <v>14784857233541.865</v>
      </c>
      <c r="AN14" s="156">
        <f>Private_2!AN14*'BTU Conversion Factor'!$F$4</f>
        <v>15060054764892.691</v>
      </c>
      <c r="AO14" s="156">
        <f>Private_2!AO14*'BTU Conversion Factor'!$F$4</f>
        <v>15330774742792.689</v>
      </c>
      <c r="AP14" s="156">
        <f>Private_2!AP14*'BTU Conversion Factor'!$F$4</f>
        <v>15597057578682.688</v>
      </c>
      <c r="AQ14" s="156">
        <f>Private_2!AQ14*'BTU Conversion Factor'!$F$4</f>
        <v>15857028352308.498</v>
      </c>
      <c r="AR14" s="156">
        <f>Private_2!AR14*'BTU Conversion Factor'!$F$4</f>
        <v>16422795502863.082</v>
      </c>
      <c r="AS14" s="156">
        <f>Private_2!AS14*'BTU Conversion Factor'!$F$4</f>
        <v>16760524216582.463</v>
      </c>
      <c r="AT14" s="156">
        <f>Private_2!AT14*'BTU Conversion Factor'!$F$4</f>
        <v>17102073251791.854</v>
      </c>
      <c r="AU14" s="156">
        <f>Private_2!AU14*'BTU Conversion Factor'!$F$4</f>
        <v>17447448860404.973</v>
      </c>
    </row>
    <row r="15" spans="1:47">
      <c r="B15" s="54" t="s">
        <v>959</v>
      </c>
      <c r="C15" s="156">
        <f>Private_2!C15*'BTU Conversion Factor'!$F$4</f>
        <v>0</v>
      </c>
      <c r="D15" s="156">
        <f>Private_2!D15*'BTU Conversion Factor'!$F$4</f>
        <v>0</v>
      </c>
      <c r="E15" s="156">
        <f>Private_2!E15*'BTU Conversion Factor'!$F$4</f>
        <v>0</v>
      </c>
      <c r="F15" s="156">
        <f>Private_2!F15*'BTU Conversion Factor'!$F$4</f>
        <v>0</v>
      </c>
      <c r="G15" s="156">
        <f>Private_2!G15*'BTU Conversion Factor'!$F$4</f>
        <v>0</v>
      </c>
      <c r="H15" s="156">
        <f>Private_2!H15*'BTU Conversion Factor'!$F$4</f>
        <v>0</v>
      </c>
      <c r="I15" s="156">
        <f>Private_2!I15*'BTU Conversion Factor'!$F$4</f>
        <v>0</v>
      </c>
      <c r="J15" s="156">
        <f>Private_2!J15*'BTU Conversion Factor'!$F$4</f>
        <v>0</v>
      </c>
      <c r="K15" s="156">
        <f>Private_2!K15*'BTU Conversion Factor'!$F$4</f>
        <v>0</v>
      </c>
      <c r="L15" s="156">
        <f>Private_2!L15*'BTU Conversion Factor'!$F$4</f>
        <v>0</v>
      </c>
      <c r="M15" s="156">
        <f>Private_2!M15*'BTU Conversion Factor'!$F$4</f>
        <v>0</v>
      </c>
      <c r="N15" s="156">
        <f>Private_2!N15*'BTU Conversion Factor'!$F$4</f>
        <v>0</v>
      </c>
      <c r="O15" s="156">
        <f>Private_2!O15*'BTU Conversion Factor'!$F$4</f>
        <v>0</v>
      </c>
      <c r="P15" s="156">
        <f>Private_2!P15*'BTU Conversion Factor'!$F$4</f>
        <v>0</v>
      </c>
      <c r="Q15" s="156">
        <f>Private_2!Q15*'BTU Conversion Factor'!$F$4</f>
        <v>0</v>
      </c>
      <c r="R15" s="156">
        <f>Private_2!R15*'BTU Conversion Factor'!$F$4</f>
        <v>0</v>
      </c>
      <c r="S15" s="156">
        <f>Private_2!S15*'BTU Conversion Factor'!$F$4</f>
        <v>0</v>
      </c>
      <c r="T15" s="156">
        <f>Private_2!T15*'BTU Conversion Factor'!$F$4</f>
        <v>0</v>
      </c>
      <c r="U15" s="156">
        <f>Private_2!U15*'BTU Conversion Factor'!$F$4</f>
        <v>0</v>
      </c>
      <c r="V15" s="156">
        <f>Private_2!V15*'BTU Conversion Factor'!$F$4</f>
        <v>0</v>
      </c>
      <c r="W15" s="156">
        <f>Private_2!W15*'BTU Conversion Factor'!$F$4</f>
        <v>0</v>
      </c>
      <c r="X15" s="156">
        <f>Private_2!X15*'BTU Conversion Factor'!$F$4</f>
        <v>0</v>
      </c>
      <c r="Y15" s="156">
        <f>Private_2!Y15*'BTU Conversion Factor'!$F$4</f>
        <v>0</v>
      </c>
      <c r="Z15" s="156">
        <f>Private_2!Z15*'BTU Conversion Factor'!$F$4</f>
        <v>0</v>
      </c>
      <c r="AA15" s="156">
        <f>Private_2!AA15*'BTU Conversion Factor'!$F$4</f>
        <v>0</v>
      </c>
      <c r="AB15" s="156">
        <f>Private_2!AB15*'BTU Conversion Factor'!$F$4</f>
        <v>0</v>
      </c>
      <c r="AC15" s="156">
        <f>Private_2!AC15*'BTU Conversion Factor'!$F$4</f>
        <v>0</v>
      </c>
      <c r="AD15" s="156">
        <f>Private_2!AD15*'BTU Conversion Factor'!$F$4</f>
        <v>0</v>
      </c>
      <c r="AE15" s="156">
        <f>Private_2!AE15*'BTU Conversion Factor'!$F$4</f>
        <v>0</v>
      </c>
      <c r="AF15" s="156">
        <f>Private_2!AF15*'BTU Conversion Factor'!$F$4</f>
        <v>0</v>
      </c>
      <c r="AG15" s="156">
        <f>Private_2!AG15*'BTU Conversion Factor'!$F$4</f>
        <v>0</v>
      </c>
      <c r="AH15" s="156">
        <f>Private_2!AH15*'BTU Conversion Factor'!$F$4</f>
        <v>0</v>
      </c>
      <c r="AI15" s="156">
        <f>Private_2!AI15*'BTU Conversion Factor'!$F$4</f>
        <v>0</v>
      </c>
      <c r="AJ15" s="156">
        <f>Private_2!AJ15*'BTU Conversion Factor'!$F$4</f>
        <v>0</v>
      </c>
      <c r="AK15" s="156">
        <f>Private_2!AK15*'BTU Conversion Factor'!$F$4</f>
        <v>0</v>
      </c>
      <c r="AL15" s="156">
        <f>Private_2!AL15*'BTU Conversion Factor'!$F$4</f>
        <v>0</v>
      </c>
      <c r="AM15" s="156">
        <f>Private_2!AM15*'BTU Conversion Factor'!$F$4</f>
        <v>0</v>
      </c>
      <c r="AN15" s="156">
        <f>Private_2!AN15*'BTU Conversion Factor'!$F$4</f>
        <v>0</v>
      </c>
      <c r="AO15" s="156">
        <f>Private_2!AO15*'BTU Conversion Factor'!$F$4</f>
        <v>0</v>
      </c>
      <c r="AP15" s="156">
        <f>Private_2!AP15*'BTU Conversion Factor'!$F$4</f>
        <v>0</v>
      </c>
      <c r="AQ15" s="156">
        <f>Private_2!AQ15*'BTU Conversion Factor'!$F$4</f>
        <v>0</v>
      </c>
      <c r="AR15" s="156">
        <f>Private_2!AR15*'BTU Conversion Factor'!$F$4</f>
        <v>0</v>
      </c>
      <c r="AS15" s="156">
        <f>Private_2!AS15*'BTU Conversion Factor'!$F$4</f>
        <v>0</v>
      </c>
      <c r="AT15" s="156">
        <f>Private_2!AT15*'BTU Conversion Factor'!$F$4</f>
        <v>0</v>
      </c>
      <c r="AU15" s="156">
        <f>Private_2!AU15*'BTU Conversion Factor'!$F$4</f>
        <v>0</v>
      </c>
    </row>
    <row r="16" spans="1:47">
      <c r="B16" s="54" t="s">
        <v>960</v>
      </c>
      <c r="C16" s="156">
        <f>Private_2!C16*'BTU Conversion Factor'!$F$4</f>
        <v>0</v>
      </c>
      <c r="D16" s="156">
        <f>Private_2!D16*'BTU Conversion Factor'!$F$4</f>
        <v>0</v>
      </c>
      <c r="E16" s="156">
        <f>Private_2!E16*'BTU Conversion Factor'!$F$4</f>
        <v>0</v>
      </c>
      <c r="F16" s="156">
        <f>Private_2!F16*'BTU Conversion Factor'!$F$4</f>
        <v>0</v>
      </c>
      <c r="G16" s="156">
        <f>Private_2!G16*'BTU Conversion Factor'!$F$4</f>
        <v>0</v>
      </c>
      <c r="H16" s="156">
        <f>Private_2!H16*'BTU Conversion Factor'!$F$4</f>
        <v>0</v>
      </c>
      <c r="I16" s="156">
        <f>Private_2!I16*'BTU Conversion Factor'!$F$4</f>
        <v>0</v>
      </c>
      <c r="J16" s="156">
        <f>Private_2!J16*'BTU Conversion Factor'!$F$4</f>
        <v>0</v>
      </c>
      <c r="K16" s="156">
        <f>Private_2!K16*'BTU Conversion Factor'!$F$4</f>
        <v>0</v>
      </c>
      <c r="L16" s="156">
        <f>Private_2!L16*'BTU Conversion Factor'!$F$4</f>
        <v>0</v>
      </c>
      <c r="M16" s="156">
        <f>Private_2!M16*'BTU Conversion Factor'!$F$4</f>
        <v>0</v>
      </c>
      <c r="N16" s="156">
        <f>Private_2!N16*'BTU Conversion Factor'!$F$4</f>
        <v>0</v>
      </c>
      <c r="O16" s="156">
        <f>Private_2!O16*'BTU Conversion Factor'!$F$4</f>
        <v>0</v>
      </c>
      <c r="P16" s="156">
        <f>Private_2!P16*'BTU Conversion Factor'!$F$4</f>
        <v>0</v>
      </c>
      <c r="Q16" s="156">
        <f>Private_2!Q16*'BTU Conversion Factor'!$F$4</f>
        <v>0</v>
      </c>
      <c r="R16" s="156">
        <f>Private_2!R16*'BTU Conversion Factor'!$F$4</f>
        <v>0</v>
      </c>
      <c r="S16" s="156">
        <f>Private_2!S16*'BTU Conversion Factor'!$F$4</f>
        <v>0</v>
      </c>
      <c r="T16" s="156">
        <f>Private_2!T16*'BTU Conversion Factor'!$F$4</f>
        <v>0</v>
      </c>
      <c r="U16" s="156">
        <f>Private_2!U16*'BTU Conversion Factor'!$F$4</f>
        <v>0</v>
      </c>
      <c r="V16" s="156">
        <f>Private_2!V16*'BTU Conversion Factor'!$F$4</f>
        <v>0</v>
      </c>
      <c r="W16" s="156">
        <f>Private_2!W16*'BTU Conversion Factor'!$F$4</f>
        <v>0</v>
      </c>
      <c r="X16" s="156">
        <f>Private_2!X16*'BTU Conversion Factor'!$F$4</f>
        <v>0</v>
      </c>
      <c r="Y16" s="156">
        <f>Private_2!Y16*'BTU Conversion Factor'!$F$4</f>
        <v>0</v>
      </c>
      <c r="Z16" s="156">
        <f>Private_2!Z16*'BTU Conversion Factor'!$F$4</f>
        <v>0</v>
      </c>
      <c r="AA16" s="156">
        <f>Private_2!AA16*'BTU Conversion Factor'!$F$4</f>
        <v>0</v>
      </c>
      <c r="AB16" s="156">
        <f>Private_2!AB16*'BTU Conversion Factor'!$F$4</f>
        <v>0</v>
      </c>
      <c r="AC16" s="156">
        <f>Private_2!AC16*'BTU Conversion Factor'!$F$4</f>
        <v>0</v>
      </c>
      <c r="AD16" s="156">
        <f>Private_2!AD16*'BTU Conversion Factor'!$F$4</f>
        <v>0</v>
      </c>
      <c r="AE16" s="156">
        <f>Private_2!AE16*'BTU Conversion Factor'!$F$4</f>
        <v>0</v>
      </c>
      <c r="AF16" s="156">
        <f>Private_2!AF16*'BTU Conversion Factor'!$F$4</f>
        <v>0</v>
      </c>
      <c r="AG16" s="156">
        <f>Private_2!AG16*'BTU Conversion Factor'!$F$4</f>
        <v>0</v>
      </c>
      <c r="AH16" s="156">
        <f>Private_2!AH16*'BTU Conversion Factor'!$F$4</f>
        <v>0</v>
      </c>
      <c r="AI16" s="156">
        <f>Private_2!AI16*'BTU Conversion Factor'!$F$4</f>
        <v>0</v>
      </c>
      <c r="AJ16" s="156">
        <f>Private_2!AJ16*'BTU Conversion Factor'!$F$4</f>
        <v>0</v>
      </c>
      <c r="AK16" s="156">
        <f>Private_2!AK16*'BTU Conversion Factor'!$F$4</f>
        <v>0</v>
      </c>
      <c r="AL16" s="156">
        <f>Private_2!AL16*'BTU Conversion Factor'!$F$4</f>
        <v>0</v>
      </c>
      <c r="AM16" s="156">
        <f>Private_2!AM16*'BTU Conversion Factor'!$F$4</f>
        <v>0</v>
      </c>
      <c r="AN16" s="156">
        <f>Private_2!AN16*'BTU Conversion Factor'!$F$4</f>
        <v>0</v>
      </c>
      <c r="AO16" s="156">
        <f>Private_2!AO16*'BTU Conversion Factor'!$F$4</f>
        <v>0</v>
      </c>
      <c r="AP16" s="156">
        <f>Private_2!AP16*'BTU Conversion Factor'!$F$4</f>
        <v>0</v>
      </c>
      <c r="AQ16" s="156">
        <f>Private_2!AQ16*'BTU Conversion Factor'!$F$4</f>
        <v>0</v>
      </c>
      <c r="AR16" s="156">
        <f>Private_2!AR16*'BTU Conversion Factor'!$F$4</f>
        <v>0</v>
      </c>
      <c r="AS16" s="156">
        <f>Private_2!AS16*'BTU Conversion Factor'!$F$4</f>
        <v>0</v>
      </c>
      <c r="AT16" s="156">
        <f>Private_2!AT16*'BTU Conversion Factor'!$F$4</f>
        <v>0</v>
      </c>
      <c r="AU16" s="156">
        <f>Private_2!AU16*'BTU Conversion Factor'!$F$4</f>
        <v>0</v>
      </c>
    </row>
    <row r="17" spans="1:47">
      <c r="B17" s="54" t="s">
        <v>961</v>
      </c>
      <c r="C17" s="156">
        <f>Private_2!C17*'BTU Conversion Factor'!$F$4</f>
        <v>0</v>
      </c>
      <c r="D17" s="156">
        <f>Private_2!D17*'BTU Conversion Factor'!$F$4</f>
        <v>0</v>
      </c>
      <c r="E17" s="156">
        <f>Private_2!E17*'BTU Conversion Factor'!$F$4</f>
        <v>0</v>
      </c>
      <c r="F17" s="156">
        <f>Private_2!F17*'BTU Conversion Factor'!$F$4</f>
        <v>0</v>
      </c>
      <c r="G17" s="156">
        <f>Private_2!G17*'BTU Conversion Factor'!$F$4</f>
        <v>0</v>
      </c>
      <c r="H17" s="156">
        <f>Private_2!H17*'BTU Conversion Factor'!$F$4</f>
        <v>0</v>
      </c>
      <c r="I17" s="156">
        <f>Private_2!I17*'BTU Conversion Factor'!$F$4</f>
        <v>0</v>
      </c>
      <c r="J17" s="156">
        <f>Private_2!J17*'BTU Conversion Factor'!$F$4</f>
        <v>0</v>
      </c>
      <c r="K17" s="156">
        <f>Private_2!K17*'BTU Conversion Factor'!$F$4</f>
        <v>0</v>
      </c>
      <c r="L17" s="156">
        <f>Private_2!L17*'BTU Conversion Factor'!$F$4</f>
        <v>0</v>
      </c>
      <c r="M17" s="156">
        <f>Private_2!M17*'BTU Conversion Factor'!$F$4</f>
        <v>0</v>
      </c>
      <c r="N17" s="156">
        <f>Private_2!N17*'BTU Conversion Factor'!$F$4</f>
        <v>0</v>
      </c>
      <c r="O17" s="156">
        <f>Private_2!O17*'BTU Conversion Factor'!$F$4</f>
        <v>0</v>
      </c>
      <c r="P17" s="156">
        <f>Private_2!P17*'BTU Conversion Factor'!$F$4</f>
        <v>0</v>
      </c>
      <c r="Q17" s="156">
        <f>Private_2!Q17*'BTU Conversion Factor'!$F$4</f>
        <v>0</v>
      </c>
      <c r="R17" s="156">
        <f>Private_2!R17*'BTU Conversion Factor'!$F$4</f>
        <v>0</v>
      </c>
      <c r="S17" s="156">
        <f>Private_2!S17*'BTU Conversion Factor'!$F$4</f>
        <v>0</v>
      </c>
      <c r="T17" s="156">
        <f>Private_2!T17*'BTU Conversion Factor'!$F$4</f>
        <v>0</v>
      </c>
      <c r="U17" s="156">
        <f>Private_2!U17*'BTU Conversion Factor'!$F$4</f>
        <v>0</v>
      </c>
      <c r="V17" s="156">
        <f>Private_2!V17*'BTU Conversion Factor'!$F$4</f>
        <v>0</v>
      </c>
      <c r="W17" s="156">
        <f>Private_2!W17*'BTU Conversion Factor'!$F$4</f>
        <v>0</v>
      </c>
      <c r="X17" s="156">
        <f>Private_2!X17*'BTU Conversion Factor'!$F$4</f>
        <v>0</v>
      </c>
      <c r="Y17" s="156">
        <f>Private_2!Y17*'BTU Conversion Factor'!$F$4</f>
        <v>0</v>
      </c>
      <c r="Z17" s="156">
        <f>Private_2!Z17*'BTU Conversion Factor'!$F$4</f>
        <v>0</v>
      </c>
      <c r="AA17" s="156">
        <f>Private_2!AA17*'BTU Conversion Factor'!$F$4</f>
        <v>0</v>
      </c>
      <c r="AB17" s="156">
        <f>Private_2!AB17*'BTU Conversion Factor'!$F$4</f>
        <v>0</v>
      </c>
      <c r="AC17" s="156">
        <f>Private_2!AC17*'BTU Conversion Factor'!$F$4</f>
        <v>0</v>
      </c>
      <c r="AD17" s="156">
        <f>Private_2!AD17*'BTU Conversion Factor'!$F$4</f>
        <v>0</v>
      </c>
      <c r="AE17" s="156">
        <f>Private_2!AE17*'BTU Conversion Factor'!$F$4</f>
        <v>0</v>
      </c>
      <c r="AF17" s="156">
        <f>Private_2!AF17*'BTU Conversion Factor'!$F$4</f>
        <v>0</v>
      </c>
      <c r="AG17" s="156">
        <f>Private_2!AG17*'BTU Conversion Factor'!$F$4</f>
        <v>0</v>
      </c>
      <c r="AH17" s="156">
        <f>Private_2!AH17*'BTU Conversion Factor'!$F$4</f>
        <v>0</v>
      </c>
      <c r="AI17" s="156">
        <f>Private_2!AI17*'BTU Conversion Factor'!$F$4</f>
        <v>0</v>
      </c>
      <c r="AJ17" s="156">
        <f>Private_2!AJ17*'BTU Conversion Factor'!$F$4</f>
        <v>0</v>
      </c>
      <c r="AK17" s="156">
        <f>Private_2!AK17*'BTU Conversion Factor'!$F$4</f>
        <v>0</v>
      </c>
      <c r="AL17" s="156">
        <f>Private_2!AL17*'BTU Conversion Factor'!$F$4</f>
        <v>0</v>
      </c>
      <c r="AM17" s="156">
        <f>Private_2!AM17*'BTU Conversion Factor'!$F$4</f>
        <v>0</v>
      </c>
      <c r="AN17" s="156">
        <f>Private_2!AN17*'BTU Conversion Factor'!$F$4</f>
        <v>0</v>
      </c>
      <c r="AO17" s="156">
        <f>Private_2!AO17*'BTU Conversion Factor'!$F$4</f>
        <v>0</v>
      </c>
      <c r="AP17" s="156">
        <f>Private_2!AP17*'BTU Conversion Factor'!$F$4</f>
        <v>0</v>
      </c>
      <c r="AQ17" s="156">
        <f>Private_2!AQ17*'BTU Conversion Factor'!$F$4</f>
        <v>0</v>
      </c>
      <c r="AR17" s="156">
        <f>Private_2!AR17*'BTU Conversion Factor'!$F$4</f>
        <v>0</v>
      </c>
      <c r="AS17" s="156">
        <f>Private_2!AS17*'BTU Conversion Factor'!$F$4</f>
        <v>0</v>
      </c>
      <c r="AT17" s="156">
        <f>Private_2!AT17*'BTU Conversion Factor'!$F$4</f>
        <v>0</v>
      </c>
      <c r="AU17" s="156">
        <f>Private_2!AU17*'BTU Conversion Factor'!$F$4</f>
        <v>0</v>
      </c>
    </row>
    <row r="18" spans="1:47">
      <c r="B18" s="54" t="s">
        <v>962</v>
      </c>
      <c r="C18" s="156">
        <f>Private_2!C18*'BTU Conversion Factor'!$F$4</f>
        <v>0</v>
      </c>
      <c r="D18" s="156">
        <f>Private_2!D18*'BTU Conversion Factor'!$F$4</f>
        <v>0</v>
      </c>
      <c r="E18" s="156">
        <f>Private_2!E18*'BTU Conversion Factor'!$F$4</f>
        <v>0</v>
      </c>
      <c r="F18" s="156">
        <f>Private_2!F18*'BTU Conversion Factor'!$F$4</f>
        <v>0</v>
      </c>
      <c r="G18" s="156">
        <f>Private_2!G18*'BTU Conversion Factor'!$F$4</f>
        <v>0</v>
      </c>
      <c r="H18" s="156">
        <f>Private_2!H18*'BTU Conversion Factor'!$F$4</f>
        <v>0</v>
      </c>
      <c r="I18" s="156">
        <f>Private_2!I18*'BTU Conversion Factor'!$F$4</f>
        <v>0</v>
      </c>
      <c r="J18" s="156">
        <f>Private_2!J18*'BTU Conversion Factor'!$F$4</f>
        <v>0</v>
      </c>
      <c r="K18" s="156">
        <f>Private_2!K18*'BTU Conversion Factor'!$F$4</f>
        <v>0</v>
      </c>
      <c r="L18" s="156">
        <f>Private_2!L18*'BTU Conversion Factor'!$F$4</f>
        <v>0</v>
      </c>
      <c r="M18" s="156">
        <f>Private_2!M18*'BTU Conversion Factor'!$F$4</f>
        <v>0</v>
      </c>
      <c r="N18" s="156">
        <f>Private_2!N18*'BTU Conversion Factor'!$F$4</f>
        <v>0</v>
      </c>
      <c r="O18" s="156">
        <f>Private_2!O18*'BTU Conversion Factor'!$F$4</f>
        <v>0</v>
      </c>
      <c r="P18" s="156">
        <f>Private_2!P18*'BTU Conversion Factor'!$F$4</f>
        <v>0</v>
      </c>
      <c r="Q18" s="156">
        <f>Private_2!Q18*'BTU Conversion Factor'!$F$4</f>
        <v>0</v>
      </c>
      <c r="R18" s="156">
        <f>Private_2!R18*'BTU Conversion Factor'!$F$4</f>
        <v>0</v>
      </c>
      <c r="S18" s="156">
        <f>Private_2!S18*'BTU Conversion Factor'!$F$4</f>
        <v>0</v>
      </c>
      <c r="T18" s="156">
        <f>Private_2!T18*'BTU Conversion Factor'!$F$4</f>
        <v>0</v>
      </c>
      <c r="U18" s="156">
        <f>Private_2!U18*'BTU Conversion Factor'!$F$4</f>
        <v>0</v>
      </c>
      <c r="V18" s="156">
        <f>Private_2!V18*'BTU Conversion Factor'!$F$4</f>
        <v>0</v>
      </c>
      <c r="W18" s="156">
        <f>Private_2!W18*'BTU Conversion Factor'!$F$4</f>
        <v>0</v>
      </c>
      <c r="X18" s="156">
        <f>Private_2!X18*'BTU Conversion Factor'!$F$4</f>
        <v>0</v>
      </c>
      <c r="Y18" s="156">
        <f>Private_2!Y18*'BTU Conversion Factor'!$F$4</f>
        <v>0</v>
      </c>
      <c r="Z18" s="156">
        <f>Private_2!Z18*'BTU Conversion Factor'!$F$4</f>
        <v>0</v>
      </c>
      <c r="AA18" s="156">
        <f>Private_2!AA18*'BTU Conversion Factor'!$F$4</f>
        <v>0</v>
      </c>
      <c r="AB18" s="156">
        <f>Private_2!AB18*'BTU Conversion Factor'!$F$4</f>
        <v>0</v>
      </c>
      <c r="AC18" s="156">
        <f>Private_2!AC18*'BTU Conversion Factor'!$F$4</f>
        <v>0</v>
      </c>
      <c r="AD18" s="156">
        <f>Private_2!AD18*'BTU Conversion Factor'!$F$4</f>
        <v>0</v>
      </c>
      <c r="AE18" s="156">
        <f>Private_2!AE18*'BTU Conversion Factor'!$F$4</f>
        <v>0</v>
      </c>
      <c r="AF18" s="156">
        <f>Private_2!AF18*'BTU Conversion Factor'!$F$4</f>
        <v>0</v>
      </c>
      <c r="AG18" s="156">
        <f>Private_2!AG18*'BTU Conversion Factor'!$F$4</f>
        <v>0</v>
      </c>
      <c r="AH18" s="156">
        <f>Private_2!AH18*'BTU Conversion Factor'!$F$4</f>
        <v>0</v>
      </c>
      <c r="AI18" s="156">
        <f>Private_2!AI18*'BTU Conversion Factor'!$F$4</f>
        <v>0</v>
      </c>
      <c r="AJ18" s="156">
        <f>Private_2!AJ18*'BTU Conversion Factor'!$F$4</f>
        <v>0</v>
      </c>
      <c r="AK18" s="156">
        <f>Private_2!AK18*'BTU Conversion Factor'!$F$4</f>
        <v>0</v>
      </c>
      <c r="AL18" s="156">
        <f>Private_2!AL18*'BTU Conversion Factor'!$F$4</f>
        <v>0</v>
      </c>
      <c r="AM18" s="156">
        <f>Private_2!AM18*'BTU Conversion Factor'!$F$4</f>
        <v>0</v>
      </c>
      <c r="AN18" s="156">
        <f>Private_2!AN18*'BTU Conversion Factor'!$F$4</f>
        <v>0</v>
      </c>
      <c r="AO18" s="156">
        <f>Private_2!AO18*'BTU Conversion Factor'!$F$4</f>
        <v>0</v>
      </c>
      <c r="AP18" s="156">
        <f>Private_2!AP18*'BTU Conversion Factor'!$F$4</f>
        <v>0</v>
      </c>
      <c r="AQ18" s="156">
        <f>Private_2!AQ18*'BTU Conversion Factor'!$F$4</f>
        <v>0</v>
      </c>
      <c r="AR18" s="156">
        <f>Private_2!AR18*'BTU Conversion Factor'!$F$4</f>
        <v>0</v>
      </c>
      <c r="AS18" s="156">
        <f>Private_2!AS18*'BTU Conversion Factor'!$F$4</f>
        <v>0</v>
      </c>
      <c r="AT18" s="156">
        <f>Private_2!AT18*'BTU Conversion Factor'!$F$4</f>
        <v>0</v>
      </c>
      <c r="AU18" s="156">
        <f>Private_2!AU18*'BTU Conversion Factor'!$F$4</f>
        <v>0</v>
      </c>
    </row>
    <row r="19" spans="1:47">
      <c r="B19" s="54" t="s">
        <v>963</v>
      </c>
      <c r="C19" s="156">
        <f>Private_2!C19*'BTU Conversion Factor'!$F$4</f>
        <v>0</v>
      </c>
      <c r="D19" s="156">
        <f>Private_2!D19*'BTU Conversion Factor'!$F$4</f>
        <v>0</v>
      </c>
      <c r="E19" s="156">
        <f>Private_2!E19*'BTU Conversion Factor'!$F$4</f>
        <v>0</v>
      </c>
      <c r="F19" s="156">
        <f>Private_2!F19*'BTU Conversion Factor'!$F$4</f>
        <v>0</v>
      </c>
      <c r="G19" s="156">
        <f>Private_2!G19*'BTU Conversion Factor'!$F$4</f>
        <v>0</v>
      </c>
      <c r="H19" s="156">
        <f>Private_2!H19*'BTU Conversion Factor'!$F$4</f>
        <v>0</v>
      </c>
      <c r="I19" s="156">
        <f>Private_2!I19*'BTU Conversion Factor'!$F$4</f>
        <v>0</v>
      </c>
      <c r="J19" s="156">
        <f>Private_2!J19*'BTU Conversion Factor'!$F$4</f>
        <v>0</v>
      </c>
      <c r="K19" s="156">
        <f>Private_2!K19*'BTU Conversion Factor'!$F$4</f>
        <v>0</v>
      </c>
      <c r="L19" s="156">
        <f>Private_2!L19*'BTU Conversion Factor'!$F$4</f>
        <v>0</v>
      </c>
      <c r="M19" s="156">
        <f>Private_2!M19*'BTU Conversion Factor'!$F$4</f>
        <v>0</v>
      </c>
      <c r="N19" s="156">
        <f>Private_2!N19*'BTU Conversion Factor'!$F$4</f>
        <v>0</v>
      </c>
      <c r="O19" s="156">
        <f>Private_2!O19*'BTU Conversion Factor'!$F$4</f>
        <v>0</v>
      </c>
      <c r="P19" s="156">
        <f>Private_2!P19*'BTU Conversion Factor'!$F$4</f>
        <v>0</v>
      </c>
      <c r="Q19" s="156">
        <f>Private_2!Q19*'BTU Conversion Factor'!$F$4</f>
        <v>0</v>
      </c>
      <c r="R19" s="156">
        <f>Private_2!R19*'BTU Conversion Factor'!$F$4</f>
        <v>0</v>
      </c>
      <c r="S19" s="156">
        <f>Private_2!S19*'BTU Conversion Factor'!$F$4</f>
        <v>0</v>
      </c>
      <c r="T19" s="156">
        <f>Private_2!T19*'BTU Conversion Factor'!$F$4</f>
        <v>0</v>
      </c>
      <c r="U19" s="156">
        <f>Private_2!U19*'BTU Conversion Factor'!$F$4</f>
        <v>0</v>
      </c>
      <c r="V19" s="156">
        <f>Private_2!V19*'BTU Conversion Factor'!$F$4</f>
        <v>0</v>
      </c>
      <c r="W19" s="156">
        <f>Private_2!W19*'BTU Conversion Factor'!$F$4</f>
        <v>0</v>
      </c>
      <c r="X19" s="156">
        <f>Private_2!X19*'BTU Conversion Factor'!$F$4</f>
        <v>0</v>
      </c>
      <c r="Y19" s="156">
        <f>Private_2!Y19*'BTU Conversion Factor'!$F$4</f>
        <v>0</v>
      </c>
      <c r="Z19" s="156">
        <f>Private_2!Z19*'BTU Conversion Factor'!$F$4</f>
        <v>0</v>
      </c>
      <c r="AA19" s="156">
        <f>Private_2!AA19*'BTU Conversion Factor'!$F$4</f>
        <v>0</v>
      </c>
      <c r="AB19" s="156">
        <f>Private_2!AB19*'BTU Conversion Factor'!$F$4</f>
        <v>0</v>
      </c>
      <c r="AC19" s="156">
        <f>Private_2!AC19*'BTU Conversion Factor'!$F$4</f>
        <v>0</v>
      </c>
      <c r="AD19" s="156">
        <f>Private_2!AD19*'BTU Conversion Factor'!$F$4</f>
        <v>0</v>
      </c>
      <c r="AE19" s="156">
        <f>Private_2!AE19*'BTU Conversion Factor'!$F$4</f>
        <v>0</v>
      </c>
      <c r="AF19" s="156">
        <f>Private_2!AF19*'BTU Conversion Factor'!$F$4</f>
        <v>0</v>
      </c>
      <c r="AG19" s="156">
        <f>Private_2!AG19*'BTU Conversion Factor'!$F$4</f>
        <v>0</v>
      </c>
      <c r="AH19" s="156">
        <f>Private_2!AH19*'BTU Conversion Factor'!$F$4</f>
        <v>0</v>
      </c>
      <c r="AI19" s="156">
        <f>Private_2!AI19*'BTU Conversion Factor'!$F$4</f>
        <v>0</v>
      </c>
      <c r="AJ19" s="156">
        <f>Private_2!AJ19*'BTU Conversion Factor'!$F$4</f>
        <v>0</v>
      </c>
      <c r="AK19" s="156">
        <f>Private_2!AK19*'BTU Conversion Factor'!$F$4</f>
        <v>0</v>
      </c>
      <c r="AL19" s="156">
        <f>Private_2!AL19*'BTU Conversion Factor'!$F$4</f>
        <v>0</v>
      </c>
      <c r="AM19" s="156">
        <f>Private_2!AM19*'BTU Conversion Factor'!$F$4</f>
        <v>0</v>
      </c>
      <c r="AN19" s="156">
        <f>Private_2!AN19*'BTU Conversion Factor'!$F$4</f>
        <v>0</v>
      </c>
      <c r="AO19" s="156">
        <f>Private_2!AO19*'BTU Conversion Factor'!$F$4</f>
        <v>0</v>
      </c>
      <c r="AP19" s="156">
        <f>Private_2!AP19*'BTU Conversion Factor'!$F$4</f>
        <v>0</v>
      </c>
      <c r="AQ19" s="156">
        <f>Private_2!AQ19*'BTU Conversion Factor'!$F$4</f>
        <v>0</v>
      </c>
      <c r="AR19" s="156">
        <f>Private_2!AR19*'BTU Conversion Factor'!$F$4</f>
        <v>0</v>
      </c>
      <c r="AS19" s="156">
        <f>Private_2!AS19*'BTU Conversion Factor'!$F$4</f>
        <v>0</v>
      </c>
      <c r="AT19" s="156">
        <f>Private_2!AT19*'BTU Conversion Factor'!$F$4</f>
        <v>0</v>
      </c>
      <c r="AU19" s="156">
        <f>Private_2!AU19*'BTU Conversion Factor'!$F$4</f>
        <v>0</v>
      </c>
    </row>
    <row r="21" spans="1:47" s="58" customFormat="1">
      <c r="A21" s="108" t="s">
        <v>938</v>
      </c>
    </row>
    <row r="22" spans="1:47" s="54" customFormat="1">
      <c r="B22" s="54" t="s">
        <v>557</v>
      </c>
      <c r="C22" s="54">
        <v>2006</v>
      </c>
      <c r="D22" s="54">
        <v>2007</v>
      </c>
      <c r="E22" s="54">
        <v>2008</v>
      </c>
      <c r="F22" s="54">
        <v>2009</v>
      </c>
      <c r="G22" s="54">
        <v>2010</v>
      </c>
      <c r="H22" s="54">
        <v>2011</v>
      </c>
      <c r="I22" s="54">
        <v>2012</v>
      </c>
      <c r="J22" s="54">
        <v>2013</v>
      </c>
      <c r="K22" s="54">
        <v>2014</v>
      </c>
      <c r="L22" s="54">
        <v>2015</v>
      </c>
      <c r="M22" s="54">
        <v>2016</v>
      </c>
      <c r="N22" s="54">
        <v>2017</v>
      </c>
      <c r="O22" s="54">
        <v>2018</v>
      </c>
      <c r="P22" s="54">
        <v>2019</v>
      </c>
      <c r="Q22" s="54">
        <v>2020</v>
      </c>
      <c r="R22" s="54">
        <v>2021</v>
      </c>
      <c r="S22" s="54">
        <v>2022</v>
      </c>
      <c r="T22" s="54">
        <v>2023</v>
      </c>
      <c r="U22" s="54">
        <v>2024</v>
      </c>
      <c r="V22" s="54">
        <v>2025</v>
      </c>
      <c r="W22" s="54">
        <v>2026</v>
      </c>
      <c r="X22" s="54">
        <v>2027</v>
      </c>
      <c r="Y22" s="54">
        <v>2028</v>
      </c>
      <c r="Z22" s="54">
        <v>2029</v>
      </c>
      <c r="AA22" s="54">
        <v>2030</v>
      </c>
      <c r="AB22" s="54">
        <v>2031</v>
      </c>
      <c r="AC22" s="54">
        <v>2032</v>
      </c>
      <c r="AD22" s="54">
        <v>2033</v>
      </c>
      <c r="AE22" s="54">
        <v>2034</v>
      </c>
      <c r="AF22" s="54">
        <v>2035</v>
      </c>
      <c r="AG22" s="54">
        <v>2036</v>
      </c>
      <c r="AH22" s="54">
        <v>2037</v>
      </c>
      <c r="AI22" s="54">
        <v>2038</v>
      </c>
      <c r="AJ22" s="54">
        <v>2039</v>
      </c>
      <c r="AK22" s="54">
        <v>2040</v>
      </c>
      <c r="AL22" s="54">
        <v>2041</v>
      </c>
      <c r="AM22" s="54">
        <v>2042</v>
      </c>
      <c r="AN22" s="54">
        <v>2043</v>
      </c>
      <c r="AO22" s="54">
        <v>2044</v>
      </c>
      <c r="AP22" s="54">
        <v>2045</v>
      </c>
      <c r="AQ22" s="54">
        <v>2046</v>
      </c>
      <c r="AR22" s="54">
        <v>2047</v>
      </c>
      <c r="AS22" s="54">
        <v>2048</v>
      </c>
      <c r="AT22" s="54">
        <v>2049</v>
      </c>
      <c r="AU22" s="54">
        <v>2050</v>
      </c>
    </row>
    <row r="23" spans="1:47">
      <c r="B23" s="54" t="s">
        <v>958</v>
      </c>
      <c r="C23">
        <f>Private_2!C23*'BTU Conversion Factor'!$F$4</f>
        <v>0</v>
      </c>
      <c r="D23">
        <f>Private_2!D23*'BTU Conversion Factor'!$F$4</f>
        <v>0</v>
      </c>
      <c r="E23">
        <f>Private_2!E23*'BTU Conversion Factor'!$F$4</f>
        <v>0</v>
      </c>
      <c r="F23">
        <f>Private_2!F23*'BTU Conversion Factor'!$F$4</f>
        <v>0</v>
      </c>
      <c r="G23">
        <f>Private_2!G23*'BTU Conversion Factor'!$F$4</f>
        <v>0</v>
      </c>
      <c r="H23">
        <f>Private_2!H23*'BTU Conversion Factor'!$F$4</f>
        <v>0</v>
      </c>
      <c r="I23">
        <f>Private_2!I23*'BTU Conversion Factor'!$F$4</f>
        <v>0</v>
      </c>
      <c r="J23">
        <f>Private_2!J23*'BTU Conversion Factor'!$F$4</f>
        <v>0</v>
      </c>
      <c r="K23">
        <f>Private_2!K23*'BTU Conversion Factor'!$F$4</f>
        <v>0</v>
      </c>
      <c r="L23">
        <f>Private_2!L23*'BTU Conversion Factor'!$F$4</f>
        <v>0</v>
      </c>
      <c r="M23">
        <f>Private_2!M23*'BTU Conversion Factor'!$F$4</f>
        <v>0</v>
      </c>
      <c r="N23">
        <f>Private_2!N23*'BTU Conversion Factor'!$F$4</f>
        <v>0</v>
      </c>
      <c r="O23">
        <f>Private_2!O23*'BTU Conversion Factor'!$F$4</f>
        <v>0</v>
      </c>
      <c r="P23">
        <f>Private_2!P23*'BTU Conversion Factor'!$F$4</f>
        <v>0</v>
      </c>
      <c r="Q23">
        <f>Private_2!Q23*'BTU Conversion Factor'!$F$4</f>
        <v>0</v>
      </c>
      <c r="R23">
        <f>Private_2!R23*'BTU Conversion Factor'!$F$4</f>
        <v>0</v>
      </c>
      <c r="S23">
        <f>Private_2!S23*'BTU Conversion Factor'!$F$4</f>
        <v>0</v>
      </c>
      <c r="T23">
        <f>Private_2!T23*'BTU Conversion Factor'!$F$4</f>
        <v>0</v>
      </c>
      <c r="U23">
        <f>Private_2!U23*'BTU Conversion Factor'!$F$4</f>
        <v>0</v>
      </c>
      <c r="V23">
        <f>Private_2!V23*'BTU Conversion Factor'!$F$4</f>
        <v>0</v>
      </c>
      <c r="W23">
        <f>Private_2!W23*'BTU Conversion Factor'!$F$4</f>
        <v>0</v>
      </c>
      <c r="X23">
        <f>Private_2!X23*'BTU Conversion Factor'!$F$4</f>
        <v>0</v>
      </c>
      <c r="Y23">
        <f>Private_2!Y23*'BTU Conversion Factor'!$F$4</f>
        <v>0</v>
      </c>
      <c r="Z23">
        <f>Private_2!Z23*'BTU Conversion Factor'!$F$4</f>
        <v>0</v>
      </c>
      <c r="AA23">
        <f>Private_2!AA23*'BTU Conversion Factor'!$F$4</f>
        <v>0</v>
      </c>
      <c r="AB23">
        <f>Private_2!AB23*'BTU Conversion Factor'!$F$4</f>
        <v>0</v>
      </c>
      <c r="AC23">
        <f>Private_2!AC23*'BTU Conversion Factor'!$F$4</f>
        <v>0</v>
      </c>
      <c r="AD23">
        <f>Private_2!AD23*'BTU Conversion Factor'!$F$4</f>
        <v>0</v>
      </c>
      <c r="AE23">
        <f>Private_2!AE23*'BTU Conversion Factor'!$F$4</f>
        <v>0</v>
      </c>
      <c r="AF23">
        <f>Private_2!AF23*'BTU Conversion Factor'!$F$4</f>
        <v>0</v>
      </c>
      <c r="AG23">
        <f>Private_2!AG23*'BTU Conversion Factor'!$F$4</f>
        <v>0</v>
      </c>
      <c r="AH23">
        <f>Private_2!AH23*'BTU Conversion Factor'!$F$4</f>
        <v>0</v>
      </c>
      <c r="AI23">
        <f>Private_2!AI23*'BTU Conversion Factor'!$F$4</f>
        <v>0</v>
      </c>
      <c r="AJ23">
        <f>Private_2!AJ23*'BTU Conversion Factor'!$F$4</f>
        <v>0</v>
      </c>
      <c r="AK23">
        <f>Private_2!AK23*'BTU Conversion Factor'!$F$4</f>
        <v>0</v>
      </c>
      <c r="AL23">
        <f>Private_2!AL23*'BTU Conversion Factor'!$F$4</f>
        <v>0</v>
      </c>
      <c r="AM23">
        <f>Private_2!AM23*'BTU Conversion Factor'!$F$4</f>
        <v>0</v>
      </c>
      <c r="AN23">
        <f>Private_2!AN23*'BTU Conversion Factor'!$F$4</f>
        <v>0</v>
      </c>
      <c r="AO23">
        <f>Private_2!AO23*'BTU Conversion Factor'!$F$4</f>
        <v>0</v>
      </c>
      <c r="AP23">
        <f>Private_2!AP23*'BTU Conversion Factor'!$F$4</f>
        <v>0</v>
      </c>
      <c r="AQ23">
        <f>Private_2!AQ23*'BTU Conversion Factor'!$F$4</f>
        <v>0</v>
      </c>
      <c r="AR23">
        <f>Private_2!AR23*'BTU Conversion Factor'!$F$4</f>
        <v>0</v>
      </c>
      <c r="AS23">
        <f>Private_2!AS23*'BTU Conversion Factor'!$F$4</f>
        <v>0</v>
      </c>
      <c r="AT23">
        <f>Private_2!AT23*'BTU Conversion Factor'!$F$4</f>
        <v>0</v>
      </c>
      <c r="AU23">
        <f>Private_2!AU23*'BTU Conversion Factor'!$F$4</f>
        <v>0</v>
      </c>
    </row>
    <row r="24" spans="1:47">
      <c r="B24" s="54" t="s">
        <v>959</v>
      </c>
      <c r="C24">
        <f>Private_2!C24*'BTU Conversion Factor'!$F$4</f>
        <v>0</v>
      </c>
      <c r="D24">
        <f>Private_2!D24*'BTU Conversion Factor'!$F$4</f>
        <v>0</v>
      </c>
      <c r="E24">
        <f>Private_2!E24*'BTU Conversion Factor'!$F$4</f>
        <v>0</v>
      </c>
      <c r="F24">
        <f>Private_2!F24*'BTU Conversion Factor'!$F$4</f>
        <v>0</v>
      </c>
      <c r="G24">
        <f>Private_2!G24*'BTU Conversion Factor'!$F$4</f>
        <v>0</v>
      </c>
      <c r="H24">
        <f>Private_2!H24*'BTU Conversion Factor'!$F$4</f>
        <v>0</v>
      </c>
      <c r="I24">
        <f>Private_2!I24*'BTU Conversion Factor'!$F$4</f>
        <v>0</v>
      </c>
      <c r="J24">
        <f>Private_2!J24*'BTU Conversion Factor'!$F$4</f>
        <v>0</v>
      </c>
      <c r="K24">
        <f>Private_2!K24*'BTU Conversion Factor'!$F$4</f>
        <v>0</v>
      </c>
      <c r="L24">
        <f>Private_2!L24*'BTU Conversion Factor'!$F$4</f>
        <v>0</v>
      </c>
      <c r="M24">
        <f>Private_2!M24*'BTU Conversion Factor'!$F$4</f>
        <v>0</v>
      </c>
      <c r="N24">
        <f>Private_2!N24*'BTU Conversion Factor'!$F$4</f>
        <v>0</v>
      </c>
      <c r="O24">
        <f>Private_2!O24*'BTU Conversion Factor'!$F$4</f>
        <v>0</v>
      </c>
      <c r="P24">
        <f>Private_2!P24*'BTU Conversion Factor'!$F$4</f>
        <v>0</v>
      </c>
      <c r="Q24">
        <f>Private_2!Q24*'BTU Conversion Factor'!$F$4</f>
        <v>0</v>
      </c>
      <c r="R24">
        <f>Private_2!R24*'BTU Conversion Factor'!$F$4</f>
        <v>0</v>
      </c>
      <c r="S24">
        <f>Private_2!S24*'BTU Conversion Factor'!$F$4</f>
        <v>0</v>
      </c>
      <c r="T24">
        <f>Private_2!T24*'BTU Conversion Factor'!$F$4</f>
        <v>0</v>
      </c>
      <c r="U24">
        <f>Private_2!U24*'BTU Conversion Factor'!$F$4</f>
        <v>0</v>
      </c>
      <c r="V24">
        <f>Private_2!V24*'BTU Conversion Factor'!$F$4</f>
        <v>0</v>
      </c>
      <c r="W24">
        <f>Private_2!W24*'BTU Conversion Factor'!$F$4</f>
        <v>0</v>
      </c>
      <c r="X24">
        <f>Private_2!X24*'BTU Conversion Factor'!$F$4</f>
        <v>0</v>
      </c>
      <c r="Y24">
        <f>Private_2!Y24*'BTU Conversion Factor'!$F$4</f>
        <v>0</v>
      </c>
      <c r="Z24">
        <f>Private_2!Z24*'BTU Conversion Factor'!$F$4</f>
        <v>0</v>
      </c>
      <c r="AA24">
        <f>Private_2!AA24*'BTU Conversion Factor'!$F$4</f>
        <v>0</v>
      </c>
      <c r="AB24">
        <f>Private_2!AB24*'BTU Conversion Factor'!$F$4</f>
        <v>0</v>
      </c>
      <c r="AC24">
        <f>Private_2!AC24*'BTU Conversion Factor'!$F$4</f>
        <v>0</v>
      </c>
      <c r="AD24">
        <f>Private_2!AD24*'BTU Conversion Factor'!$F$4</f>
        <v>0</v>
      </c>
      <c r="AE24">
        <f>Private_2!AE24*'BTU Conversion Factor'!$F$4</f>
        <v>0</v>
      </c>
      <c r="AF24">
        <f>Private_2!AF24*'BTU Conversion Factor'!$F$4</f>
        <v>0</v>
      </c>
      <c r="AG24">
        <f>Private_2!AG24*'BTU Conversion Factor'!$F$4</f>
        <v>0</v>
      </c>
      <c r="AH24">
        <f>Private_2!AH24*'BTU Conversion Factor'!$F$4</f>
        <v>0</v>
      </c>
      <c r="AI24">
        <f>Private_2!AI24*'BTU Conversion Factor'!$F$4</f>
        <v>0</v>
      </c>
      <c r="AJ24">
        <f>Private_2!AJ24*'BTU Conversion Factor'!$F$4</f>
        <v>0</v>
      </c>
      <c r="AK24">
        <f>Private_2!AK24*'BTU Conversion Factor'!$F$4</f>
        <v>0</v>
      </c>
      <c r="AL24">
        <f>Private_2!AL24*'BTU Conversion Factor'!$F$4</f>
        <v>0</v>
      </c>
      <c r="AM24">
        <f>Private_2!AM24*'BTU Conversion Factor'!$F$4</f>
        <v>0</v>
      </c>
      <c r="AN24">
        <f>Private_2!AN24*'BTU Conversion Factor'!$F$4</f>
        <v>0</v>
      </c>
      <c r="AO24">
        <f>Private_2!AO24*'BTU Conversion Factor'!$F$4</f>
        <v>0</v>
      </c>
      <c r="AP24">
        <f>Private_2!AP24*'BTU Conversion Factor'!$F$4</f>
        <v>0</v>
      </c>
      <c r="AQ24">
        <f>Private_2!AQ24*'BTU Conversion Factor'!$F$4</f>
        <v>0</v>
      </c>
      <c r="AR24">
        <f>Private_2!AR24*'BTU Conversion Factor'!$F$4</f>
        <v>0</v>
      </c>
      <c r="AS24">
        <f>Private_2!AS24*'BTU Conversion Factor'!$F$4</f>
        <v>0</v>
      </c>
      <c r="AT24">
        <f>Private_2!AT24*'BTU Conversion Factor'!$F$4</f>
        <v>0</v>
      </c>
      <c r="AU24">
        <f>Private_2!AU24*'BTU Conversion Factor'!$F$4</f>
        <v>0</v>
      </c>
    </row>
    <row r="25" spans="1:47">
      <c r="B25" s="54" t="s">
        <v>960</v>
      </c>
      <c r="C25">
        <f>Private_2!C25*'BTU Conversion Factor'!$F$4</f>
        <v>0</v>
      </c>
      <c r="D25">
        <f>Private_2!D25*'BTU Conversion Factor'!$F$4</f>
        <v>0</v>
      </c>
      <c r="E25">
        <f>Private_2!E25*'BTU Conversion Factor'!$F$4</f>
        <v>0</v>
      </c>
      <c r="F25">
        <f>Private_2!F25*'BTU Conversion Factor'!$F$4</f>
        <v>0</v>
      </c>
      <c r="G25">
        <f>Private_2!G25*'BTU Conversion Factor'!$F$4</f>
        <v>0</v>
      </c>
      <c r="H25">
        <f>Private_2!H25*'BTU Conversion Factor'!$F$4</f>
        <v>0</v>
      </c>
      <c r="I25">
        <f>Private_2!I25*'BTU Conversion Factor'!$F$4</f>
        <v>0</v>
      </c>
      <c r="J25">
        <f>Private_2!J25*'BTU Conversion Factor'!$F$4</f>
        <v>0</v>
      </c>
      <c r="K25">
        <f>Private_2!K25*'BTU Conversion Factor'!$F$4</f>
        <v>0</v>
      </c>
      <c r="L25">
        <f>Private_2!L25*'BTU Conversion Factor'!$F$4</f>
        <v>0</v>
      </c>
      <c r="M25">
        <f>Private_2!M25*'BTU Conversion Factor'!$F$4</f>
        <v>0</v>
      </c>
      <c r="N25">
        <f>Private_2!N25*'BTU Conversion Factor'!$F$4</f>
        <v>0</v>
      </c>
      <c r="O25">
        <f>Private_2!O25*'BTU Conversion Factor'!$F$4</f>
        <v>0</v>
      </c>
      <c r="P25">
        <f>Private_2!P25*'BTU Conversion Factor'!$F$4</f>
        <v>0</v>
      </c>
      <c r="Q25">
        <f>Private_2!Q25*'BTU Conversion Factor'!$F$4</f>
        <v>0</v>
      </c>
      <c r="R25">
        <f>Private_2!R25*'BTU Conversion Factor'!$F$4</f>
        <v>0</v>
      </c>
      <c r="S25">
        <f>Private_2!S25*'BTU Conversion Factor'!$F$4</f>
        <v>0</v>
      </c>
      <c r="T25">
        <f>Private_2!T25*'BTU Conversion Factor'!$F$4</f>
        <v>0</v>
      </c>
      <c r="U25">
        <f>Private_2!U25*'BTU Conversion Factor'!$F$4</f>
        <v>0</v>
      </c>
      <c r="V25">
        <f>Private_2!V25*'BTU Conversion Factor'!$F$4</f>
        <v>0</v>
      </c>
      <c r="W25">
        <f>Private_2!W25*'BTU Conversion Factor'!$F$4</f>
        <v>0</v>
      </c>
      <c r="X25">
        <f>Private_2!X25*'BTU Conversion Factor'!$F$4</f>
        <v>0</v>
      </c>
      <c r="Y25">
        <f>Private_2!Y25*'BTU Conversion Factor'!$F$4</f>
        <v>0</v>
      </c>
      <c r="Z25">
        <f>Private_2!Z25*'BTU Conversion Factor'!$F$4</f>
        <v>0</v>
      </c>
      <c r="AA25">
        <f>Private_2!AA25*'BTU Conversion Factor'!$F$4</f>
        <v>0</v>
      </c>
      <c r="AB25">
        <f>Private_2!AB25*'BTU Conversion Factor'!$F$4</f>
        <v>0</v>
      </c>
      <c r="AC25">
        <f>Private_2!AC25*'BTU Conversion Factor'!$F$4</f>
        <v>0</v>
      </c>
      <c r="AD25">
        <f>Private_2!AD25*'BTU Conversion Factor'!$F$4</f>
        <v>0</v>
      </c>
      <c r="AE25">
        <f>Private_2!AE25*'BTU Conversion Factor'!$F$4</f>
        <v>0</v>
      </c>
      <c r="AF25">
        <f>Private_2!AF25*'BTU Conversion Factor'!$F$4</f>
        <v>0</v>
      </c>
      <c r="AG25">
        <f>Private_2!AG25*'BTU Conversion Factor'!$F$4</f>
        <v>0</v>
      </c>
      <c r="AH25">
        <f>Private_2!AH25*'BTU Conversion Factor'!$F$4</f>
        <v>0</v>
      </c>
      <c r="AI25">
        <f>Private_2!AI25*'BTU Conversion Factor'!$F$4</f>
        <v>0</v>
      </c>
      <c r="AJ25">
        <f>Private_2!AJ25*'BTU Conversion Factor'!$F$4</f>
        <v>0</v>
      </c>
      <c r="AK25">
        <f>Private_2!AK25*'BTU Conversion Factor'!$F$4</f>
        <v>0</v>
      </c>
      <c r="AL25">
        <f>Private_2!AL25*'BTU Conversion Factor'!$F$4</f>
        <v>0</v>
      </c>
      <c r="AM25">
        <f>Private_2!AM25*'BTU Conversion Factor'!$F$4</f>
        <v>0</v>
      </c>
      <c r="AN25">
        <f>Private_2!AN25*'BTU Conversion Factor'!$F$4</f>
        <v>0</v>
      </c>
      <c r="AO25">
        <f>Private_2!AO25*'BTU Conversion Factor'!$F$4</f>
        <v>0</v>
      </c>
      <c r="AP25">
        <f>Private_2!AP25*'BTU Conversion Factor'!$F$4</f>
        <v>0</v>
      </c>
      <c r="AQ25">
        <f>Private_2!AQ25*'BTU Conversion Factor'!$F$4</f>
        <v>0</v>
      </c>
      <c r="AR25">
        <f>Private_2!AR25*'BTU Conversion Factor'!$F$4</f>
        <v>0</v>
      </c>
      <c r="AS25">
        <f>Private_2!AS25*'BTU Conversion Factor'!$F$4</f>
        <v>0</v>
      </c>
      <c r="AT25">
        <f>Private_2!AT25*'BTU Conversion Factor'!$F$4</f>
        <v>0</v>
      </c>
      <c r="AU25">
        <f>Private_2!AU25*'BTU Conversion Factor'!$F$4</f>
        <v>0</v>
      </c>
    </row>
    <row r="26" spans="1:47">
      <c r="B26" s="54" t="s">
        <v>961</v>
      </c>
      <c r="C26">
        <f>Private_2!C26*'BTU Conversion Factor'!$F$4</f>
        <v>0</v>
      </c>
      <c r="D26">
        <f>Private_2!D26*'BTU Conversion Factor'!$F$4</f>
        <v>0</v>
      </c>
      <c r="E26">
        <f>Private_2!E26*'BTU Conversion Factor'!$F$4</f>
        <v>0</v>
      </c>
      <c r="F26">
        <f>Private_2!F26*'BTU Conversion Factor'!$F$4</f>
        <v>0</v>
      </c>
      <c r="G26">
        <f>Private_2!G26*'BTU Conversion Factor'!$F$4</f>
        <v>0</v>
      </c>
      <c r="H26">
        <f>Private_2!H26*'BTU Conversion Factor'!$F$4</f>
        <v>0</v>
      </c>
      <c r="I26">
        <f>Private_2!I26*'BTU Conversion Factor'!$F$4</f>
        <v>0</v>
      </c>
      <c r="J26">
        <f>Private_2!J26*'BTU Conversion Factor'!$F$4</f>
        <v>0</v>
      </c>
      <c r="K26">
        <f>Private_2!K26*'BTU Conversion Factor'!$F$4</f>
        <v>0</v>
      </c>
      <c r="L26">
        <f>Private_2!L26*'BTU Conversion Factor'!$F$4</f>
        <v>0</v>
      </c>
      <c r="M26">
        <f>Private_2!M26*'BTU Conversion Factor'!$F$4</f>
        <v>0</v>
      </c>
      <c r="N26">
        <f>Private_2!N26*'BTU Conversion Factor'!$F$4</f>
        <v>0</v>
      </c>
      <c r="O26">
        <f>Private_2!O26*'BTU Conversion Factor'!$F$4</f>
        <v>0</v>
      </c>
      <c r="P26">
        <f>Private_2!P26*'BTU Conversion Factor'!$F$4</f>
        <v>0</v>
      </c>
      <c r="Q26">
        <f>Private_2!Q26*'BTU Conversion Factor'!$F$4</f>
        <v>0</v>
      </c>
      <c r="R26">
        <f>Private_2!R26*'BTU Conversion Factor'!$F$4</f>
        <v>0</v>
      </c>
      <c r="S26">
        <f>Private_2!S26*'BTU Conversion Factor'!$F$4</f>
        <v>0</v>
      </c>
      <c r="T26">
        <f>Private_2!T26*'BTU Conversion Factor'!$F$4</f>
        <v>0</v>
      </c>
      <c r="U26">
        <f>Private_2!U26*'BTU Conversion Factor'!$F$4</f>
        <v>0</v>
      </c>
      <c r="V26">
        <f>Private_2!V26*'BTU Conversion Factor'!$F$4</f>
        <v>0</v>
      </c>
      <c r="W26">
        <f>Private_2!W26*'BTU Conversion Factor'!$F$4</f>
        <v>0</v>
      </c>
      <c r="X26">
        <f>Private_2!X26*'BTU Conversion Factor'!$F$4</f>
        <v>0</v>
      </c>
      <c r="Y26">
        <f>Private_2!Y26*'BTU Conversion Factor'!$F$4</f>
        <v>0</v>
      </c>
      <c r="Z26">
        <f>Private_2!Z26*'BTU Conversion Factor'!$F$4</f>
        <v>0</v>
      </c>
      <c r="AA26">
        <f>Private_2!AA26*'BTU Conversion Factor'!$F$4</f>
        <v>0</v>
      </c>
      <c r="AB26">
        <f>Private_2!AB26*'BTU Conversion Factor'!$F$4</f>
        <v>0</v>
      </c>
      <c r="AC26">
        <f>Private_2!AC26*'BTU Conversion Factor'!$F$4</f>
        <v>0</v>
      </c>
      <c r="AD26">
        <f>Private_2!AD26*'BTU Conversion Factor'!$F$4</f>
        <v>0</v>
      </c>
      <c r="AE26">
        <f>Private_2!AE26*'BTU Conversion Factor'!$F$4</f>
        <v>0</v>
      </c>
      <c r="AF26">
        <f>Private_2!AF26*'BTU Conversion Factor'!$F$4</f>
        <v>0</v>
      </c>
      <c r="AG26">
        <f>Private_2!AG26*'BTU Conversion Factor'!$F$4</f>
        <v>0</v>
      </c>
      <c r="AH26">
        <f>Private_2!AH26*'BTU Conversion Factor'!$F$4</f>
        <v>0</v>
      </c>
      <c r="AI26">
        <f>Private_2!AI26*'BTU Conversion Factor'!$F$4</f>
        <v>0</v>
      </c>
      <c r="AJ26">
        <f>Private_2!AJ26*'BTU Conversion Factor'!$F$4</f>
        <v>0</v>
      </c>
      <c r="AK26">
        <f>Private_2!AK26*'BTU Conversion Factor'!$F$4</f>
        <v>0</v>
      </c>
      <c r="AL26">
        <f>Private_2!AL26*'BTU Conversion Factor'!$F$4</f>
        <v>0</v>
      </c>
      <c r="AM26">
        <f>Private_2!AM26*'BTU Conversion Factor'!$F$4</f>
        <v>0</v>
      </c>
      <c r="AN26">
        <f>Private_2!AN26*'BTU Conversion Factor'!$F$4</f>
        <v>0</v>
      </c>
      <c r="AO26">
        <f>Private_2!AO26*'BTU Conversion Factor'!$F$4</f>
        <v>0</v>
      </c>
      <c r="AP26">
        <f>Private_2!AP26*'BTU Conversion Factor'!$F$4</f>
        <v>0</v>
      </c>
      <c r="AQ26">
        <f>Private_2!AQ26*'BTU Conversion Factor'!$F$4</f>
        <v>0</v>
      </c>
      <c r="AR26">
        <f>Private_2!AR26*'BTU Conversion Factor'!$F$4</f>
        <v>0</v>
      </c>
      <c r="AS26">
        <f>Private_2!AS26*'BTU Conversion Factor'!$F$4</f>
        <v>0</v>
      </c>
      <c r="AT26">
        <f>Private_2!AT26*'BTU Conversion Factor'!$F$4</f>
        <v>0</v>
      </c>
      <c r="AU26">
        <f>Private_2!AU26*'BTU Conversion Factor'!$F$4</f>
        <v>0</v>
      </c>
    </row>
    <row r="27" spans="1:47">
      <c r="B27" s="54" t="s">
        <v>962</v>
      </c>
      <c r="C27">
        <f>Private_2!C27*'BTU Conversion Factor'!$F$4</f>
        <v>0</v>
      </c>
      <c r="D27">
        <f>Private_2!D27*'BTU Conversion Factor'!$F$4</f>
        <v>0</v>
      </c>
      <c r="E27">
        <f>Private_2!E27*'BTU Conversion Factor'!$F$4</f>
        <v>0</v>
      </c>
      <c r="F27">
        <f>Private_2!F27*'BTU Conversion Factor'!$F$4</f>
        <v>0</v>
      </c>
      <c r="G27">
        <f>Private_2!G27*'BTU Conversion Factor'!$F$4</f>
        <v>0</v>
      </c>
      <c r="H27">
        <f>Private_2!H27*'BTU Conversion Factor'!$F$4</f>
        <v>0</v>
      </c>
      <c r="I27">
        <f>Private_2!I27*'BTU Conversion Factor'!$F$4</f>
        <v>0</v>
      </c>
      <c r="J27">
        <f>Private_2!J27*'BTU Conversion Factor'!$F$4</f>
        <v>0</v>
      </c>
      <c r="K27">
        <f>Private_2!K27*'BTU Conversion Factor'!$F$4</f>
        <v>0</v>
      </c>
      <c r="L27">
        <f>Private_2!L27*'BTU Conversion Factor'!$F$4</f>
        <v>0</v>
      </c>
      <c r="M27">
        <f>Private_2!M27*'BTU Conversion Factor'!$F$4</f>
        <v>0</v>
      </c>
      <c r="N27">
        <f>Private_2!N27*'BTU Conversion Factor'!$F$4</f>
        <v>0</v>
      </c>
      <c r="O27">
        <f>Private_2!O27*'BTU Conversion Factor'!$F$4</f>
        <v>0</v>
      </c>
      <c r="P27">
        <f>Private_2!P27*'BTU Conversion Factor'!$F$4</f>
        <v>0</v>
      </c>
      <c r="Q27">
        <f>Private_2!Q27*'BTU Conversion Factor'!$F$4</f>
        <v>0</v>
      </c>
      <c r="R27">
        <f>Private_2!R27*'BTU Conversion Factor'!$F$4</f>
        <v>0</v>
      </c>
      <c r="S27">
        <f>Private_2!S27*'BTU Conversion Factor'!$F$4</f>
        <v>0</v>
      </c>
      <c r="T27">
        <f>Private_2!T27*'BTU Conversion Factor'!$F$4</f>
        <v>0</v>
      </c>
      <c r="U27">
        <f>Private_2!U27*'BTU Conversion Factor'!$F$4</f>
        <v>0</v>
      </c>
      <c r="V27">
        <f>Private_2!V27*'BTU Conversion Factor'!$F$4</f>
        <v>0</v>
      </c>
      <c r="W27">
        <f>Private_2!W27*'BTU Conversion Factor'!$F$4</f>
        <v>0</v>
      </c>
      <c r="X27">
        <f>Private_2!X27*'BTU Conversion Factor'!$F$4</f>
        <v>0</v>
      </c>
      <c r="Y27">
        <f>Private_2!Y27*'BTU Conversion Factor'!$F$4</f>
        <v>0</v>
      </c>
      <c r="Z27">
        <f>Private_2!Z27*'BTU Conversion Factor'!$F$4</f>
        <v>0</v>
      </c>
      <c r="AA27">
        <f>Private_2!AA27*'BTU Conversion Factor'!$F$4</f>
        <v>0</v>
      </c>
      <c r="AB27">
        <f>Private_2!AB27*'BTU Conversion Factor'!$F$4</f>
        <v>0</v>
      </c>
      <c r="AC27">
        <f>Private_2!AC27*'BTU Conversion Factor'!$F$4</f>
        <v>0</v>
      </c>
      <c r="AD27">
        <f>Private_2!AD27*'BTU Conversion Factor'!$F$4</f>
        <v>0</v>
      </c>
      <c r="AE27">
        <f>Private_2!AE27*'BTU Conversion Factor'!$F$4</f>
        <v>0</v>
      </c>
      <c r="AF27">
        <f>Private_2!AF27*'BTU Conversion Factor'!$F$4</f>
        <v>0</v>
      </c>
      <c r="AG27">
        <f>Private_2!AG27*'BTU Conversion Factor'!$F$4</f>
        <v>0</v>
      </c>
      <c r="AH27">
        <f>Private_2!AH27*'BTU Conversion Factor'!$F$4</f>
        <v>0</v>
      </c>
      <c r="AI27">
        <f>Private_2!AI27*'BTU Conversion Factor'!$F$4</f>
        <v>0</v>
      </c>
      <c r="AJ27">
        <f>Private_2!AJ27*'BTU Conversion Factor'!$F$4</f>
        <v>0</v>
      </c>
      <c r="AK27">
        <f>Private_2!AK27*'BTU Conversion Factor'!$F$4</f>
        <v>0</v>
      </c>
      <c r="AL27">
        <f>Private_2!AL27*'BTU Conversion Factor'!$F$4</f>
        <v>0</v>
      </c>
      <c r="AM27">
        <f>Private_2!AM27*'BTU Conversion Factor'!$F$4</f>
        <v>0</v>
      </c>
      <c r="AN27">
        <f>Private_2!AN27*'BTU Conversion Factor'!$F$4</f>
        <v>0</v>
      </c>
      <c r="AO27">
        <f>Private_2!AO27*'BTU Conversion Factor'!$F$4</f>
        <v>0</v>
      </c>
      <c r="AP27">
        <f>Private_2!AP27*'BTU Conversion Factor'!$F$4</f>
        <v>0</v>
      </c>
      <c r="AQ27">
        <f>Private_2!AQ27*'BTU Conversion Factor'!$F$4</f>
        <v>0</v>
      </c>
      <c r="AR27">
        <f>Private_2!AR27*'BTU Conversion Factor'!$F$4</f>
        <v>0</v>
      </c>
      <c r="AS27">
        <f>Private_2!AS27*'BTU Conversion Factor'!$F$4</f>
        <v>0</v>
      </c>
      <c r="AT27">
        <f>Private_2!AT27*'BTU Conversion Factor'!$F$4</f>
        <v>0</v>
      </c>
      <c r="AU27">
        <f>Private_2!AU27*'BTU Conversion Factor'!$F$4</f>
        <v>0</v>
      </c>
    </row>
    <row r="28" spans="1:47">
      <c r="B28" s="54" t="s">
        <v>963</v>
      </c>
      <c r="C28">
        <f>Private_2!C28*'BTU Conversion Factor'!$F$4</f>
        <v>0</v>
      </c>
      <c r="D28">
        <f>Private_2!D28*'BTU Conversion Factor'!$F$4</f>
        <v>0</v>
      </c>
      <c r="E28">
        <f>Private_2!E28*'BTU Conversion Factor'!$F$4</f>
        <v>0</v>
      </c>
      <c r="F28">
        <f>Private_2!F28*'BTU Conversion Factor'!$F$4</f>
        <v>0</v>
      </c>
      <c r="G28">
        <f>Private_2!G28*'BTU Conversion Factor'!$F$4</f>
        <v>0</v>
      </c>
      <c r="H28">
        <f>Private_2!H28*'BTU Conversion Factor'!$F$4</f>
        <v>0</v>
      </c>
      <c r="I28">
        <f>Private_2!I28*'BTU Conversion Factor'!$F$4</f>
        <v>0</v>
      </c>
      <c r="J28">
        <f>Private_2!J28*'BTU Conversion Factor'!$F$4</f>
        <v>0</v>
      </c>
      <c r="K28">
        <f>Private_2!K28*'BTU Conversion Factor'!$F$4</f>
        <v>0</v>
      </c>
      <c r="L28">
        <f>Private_2!L28*'BTU Conversion Factor'!$F$4</f>
        <v>0</v>
      </c>
      <c r="M28">
        <f>Private_2!M28*'BTU Conversion Factor'!$F$4</f>
        <v>0</v>
      </c>
      <c r="N28">
        <f>Private_2!N28*'BTU Conversion Factor'!$F$4</f>
        <v>0</v>
      </c>
      <c r="O28">
        <f>Private_2!O28*'BTU Conversion Factor'!$F$4</f>
        <v>0</v>
      </c>
      <c r="P28">
        <f>Private_2!P28*'BTU Conversion Factor'!$F$4</f>
        <v>0</v>
      </c>
      <c r="Q28">
        <f>Private_2!Q28*'BTU Conversion Factor'!$F$4</f>
        <v>0</v>
      </c>
      <c r="R28">
        <f>Private_2!R28*'BTU Conversion Factor'!$F$4</f>
        <v>0</v>
      </c>
      <c r="S28">
        <f>Private_2!S28*'BTU Conversion Factor'!$F$4</f>
        <v>0</v>
      </c>
      <c r="T28">
        <f>Private_2!T28*'BTU Conversion Factor'!$F$4</f>
        <v>0</v>
      </c>
      <c r="U28">
        <f>Private_2!U28*'BTU Conversion Factor'!$F$4</f>
        <v>0</v>
      </c>
      <c r="V28">
        <f>Private_2!V28*'BTU Conversion Factor'!$F$4</f>
        <v>0</v>
      </c>
      <c r="W28">
        <f>Private_2!W28*'BTU Conversion Factor'!$F$4</f>
        <v>0</v>
      </c>
      <c r="X28">
        <f>Private_2!X28*'BTU Conversion Factor'!$F$4</f>
        <v>0</v>
      </c>
      <c r="Y28">
        <f>Private_2!Y28*'BTU Conversion Factor'!$F$4</f>
        <v>0</v>
      </c>
      <c r="Z28">
        <f>Private_2!Z28*'BTU Conversion Factor'!$F$4</f>
        <v>0</v>
      </c>
      <c r="AA28">
        <f>Private_2!AA28*'BTU Conversion Factor'!$F$4</f>
        <v>0</v>
      </c>
      <c r="AB28">
        <f>Private_2!AB28*'BTU Conversion Factor'!$F$4</f>
        <v>0</v>
      </c>
      <c r="AC28">
        <f>Private_2!AC28*'BTU Conversion Factor'!$F$4</f>
        <v>0</v>
      </c>
      <c r="AD28">
        <f>Private_2!AD28*'BTU Conversion Factor'!$F$4</f>
        <v>0</v>
      </c>
      <c r="AE28">
        <f>Private_2!AE28*'BTU Conversion Factor'!$F$4</f>
        <v>0</v>
      </c>
      <c r="AF28">
        <f>Private_2!AF28*'BTU Conversion Factor'!$F$4</f>
        <v>0</v>
      </c>
      <c r="AG28">
        <f>Private_2!AG28*'BTU Conversion Factor'!$F$4</f>
        <v>0</v>
      </c>
      <c r="AH28">
        <f>Private_2!AH28*'BTU Conversion Factor'!$F$4</f>
        <v>0</v>
      </c>
      <c r="AI28">
        <f>Private_2!AI28*'BTU Conversion Factor'!$F$4</f>
        <v>0</v>
      </c>
      <c r="AJ28">
        <f>Private_2!AJ28*'BTU Conversion Factor'!$F$4</f>
        <v>0</v>
      </c>
      <c r="AK28">
        <f>Private_2!AK28*'BTU Conversion Factor'!$F$4</f>
        <v>0</v>
      </c>
      <c r="AL28">
        <f>Private_2!AL28*'BTU Conversion Factor'!$F$4</f>
        <v>0</v>
      </c>
      <c r="AM28">
        <f>Private_2!AM28*'BTU Conversion Factor'!$F$4</f>
        <v>0</v>
      </c>
      <c r="AN28">
        <f>Private_2!AN28*'BTU Conversion Factor'!$F$4</f>
        <v>0</v>
      </c>
      <c r="AO28">
        <f>Private_2!AO28*'BTU Conversion Factor'!$F$4</f>
        <v>0</v>
      </c>
      <c r="AP28">
        <f>Private_2!AP28*'BTU Conversion Factor'!$F$4</f>
        <v>0</v>
      </c>
      <c r="AQ28">
        <f>Private_2!AQ28*'BTU Conversion Factor'!$F$4</f>
        <v>0</v>
      </c>
      <c r="AR28">
        <f>Private_2!AR28*'BTU Conversion Factor'!$F$4</f>
        <v>0</v>
      </c>
      <c r="AS28">
        <f>Private_2!AS28*'BTU Conversion Factor'!$F$4</f>
        <v>0</v>
      </c>
      <c r="AT28">
        <f>Private_2!AT28*'BTU Conversion Factor'!$F$4</f>
        <v>0</v>
      </c>
      <c r="AU28">
        <f>Private_2!AU28*'BTU Conversion Factor'!$F$4</f>
        <v>0</v>
      </c>
    </row>
    <row r="30" spans="1:47" s="58" customFormat="1">
      <c r="A30" s="108" t="s">
        <v>939</v>
      </c>
    </row>
    <row r="31" spans="1:47" s="54" customFormat="1">
      <c r="B31" s="54" t="s">
        <v>481</v>
      </c>
      <c r="C31" s="54">
        <v>2006</v>
      </c>
      <c r="D31" s="54">
        <v>2007</v>
      </c>
      <c r="E31" s="54">
        <v>2008</v>
      </c>
      <c r="F31" s="54">
        <v>2009</v>
      </c>
      <c r="G31" s="54">
        <v>2010</v>
      </c>
      <c r="H31" s="54">
        <v>2011</v>
      </c>
      <c r="I31" s="54">
        <v>2012</v>
      </c>
      <c r="J31" s="54">
        <v>2013</v>
      </c>
      <c r="K31" s="54">
        <v>2014</v>
      </c>
      <c r="L31" s="54">
        <v>2015</v>
      </c>
      <c r="M31" s="54">
        <v>2016</v>
      </c>
      <c r="N31" s="54">
        <v>2017</v>
      </c>
      <c r="O31" s="54">
        <v>2018</v>
      </c>
      <c r="P31" s="54">
        <v>2019</v>
      </c>
      <c r="Q31" s="54">
        <v>2020</v>
      </c>
      <c r="R31" s="54">
        <v>2021</v>
      </c>
      <c r="S31" s="54">
        <v>2022</v>
      </c>
      <c r="T31" s="54">
        <v>2023</v>
      </c>
      <c r="U31" s="54">
        <v>2024</v>
      </c>
      <c r="V31" s="54">
        <v>2025</v>
      </c>
      <c r="W31" s="54">
        <v>2026</v>
      </c>
      <c r="X31" s="54">
        <v>2027</v>
      </c>
      <c r="Y31" s="54">
        <v>2028</v>
      </c>
      <c r="Z31" s="54">
        <v>2029</v>
      </c>
      <c r="AA31" s="54">
        <v>2030</v>
      </c>
      <c r="AB31" s="54">
        <v>2031</v>
      </c>
      <c r="AC31" s="54">
        <v>2032</v>
      </c>
      <c r="AD31" s="54">
        <v>2033</v>
      </c>
      <c r="AE31" s="54">
        <v>2034</v>
      </c>
      <c r="AF31" s="54">
        <v>2035</v>
      </c>
      <c r="AG31" s="54">
        <v>2036</v>
      </c>
      <c r="AH31" s="54">
        <v>2037</v>
      </c>
      <c r="AI31" s="54">
        <v>2038</v>
      </c>
      <c r="AJ31" s="54">
        <v>2039</v>
      </c>
      <c r="AK31" s="54">
        <v>2040</v>
      </c>
      <c r="AL31" s="54">
        <v>2041</v>
      </c>
      <c r="AM31" s="54">
        <v>2042</v>
      </c>
      <c r="AN31" s="54">
        <v>2043</v>
      </c>
      <c r="AO31" s="54">
        <v>2044</v>
      </c>
      <c r="AP31" s="54">
        <v>2045</v>
      </c>
      <c r="AQ31" s="54">
        <v>2046</v>
      </c>
      <c r="AR31" s="54">
        <v>2047</v>
      </c>
      <c r="AS31" s="54">
        <v>2048</v>
      </c>
      <c r="AT31" s="54">
        <v>2049</v>
      </c>
      <c r="AU31" s="54">
        <v>2050</v>
      </c>
    </row>
    <row r="32" spans="1:47">
      <c r="B32" s="54" t="s">
        <v>958</v>
      </c>
      <c r="C32" s="156">
        <f>Private_2!C32*'BTU Conversion Factor'!$F$4</f>
        <v>8059785151507.9941</v>
      </c>
      <c r="D32" s="156">
        <f>Private_2!D32*'BTU Conversion Factor'!$F$4</f>
        <v>8572431401837.2266</v>
      </c>
      <c r="E32" s="156">
        <f>Private_2!E32*'BTU Conversion Factor'!$F$4</f>
        <v>8980119750403.0703</v>
      </c>
      <c r="F32" s="156">
        <f>Private_2!F32*'BTU Conversion Factor'!$F$4</f>
        <v>9211136589511.1133</v>
      </c>
      <c r="G32" s="156">
        <f>Private_2!G32*'BTU Conversion Factor'!$F$4</f>
        <v>8837896550069.0254</v>
      </c>
      <c r="H32" s="156">
        <f>Private_2!H32*'BTU Conversion Factor'!$F$4</f>
        <v>8809489892727.7129</v>
      </c>
      <c r="I32" s="156">
        <f>Private_2!I32*'BTU Conversion Factor'!$F$4</f>
        <v>8698807151080.5371</v>
      </c>
      <c r="J32" s="156">
        <f>Private_2!J32*'BTU Conversion Factor'!$F$4</f>
        <v>8630607861036.123</v>
      </c>
      <c r="K32" s="156">
        <f>Private_2!K32*'BTU Conversion Factor'!$F$4</f>
        <v>9110690491955.2109</v>
      </c>
      <c r="L32" s="156">
        <f>Private_2!L32*'BTU Conversion Factor'!$F$4</f>
        <v>8713534260351.9033</v>
      </c>
      <c r="M32" s="156">
        <f>Private_2!M32*'BTU Conversion Factor'!$F$4</f>
        <v>9216815601660.543</v>
      </c>
      <c r="N32" s="156">
        <f>Private_2!N32*'BTU Conversion Factor'!$F$4</f>
        <v>9315831262062.0137</v>
      </c>
      <c r="O32" s="156">
        <f>Private_2!O32*'BTU Conversion Factor'!$F$4</f>
        <v>9396452762727.459</v>
      </c>
      <c r="P32" s="156">
        <f>Private_2!P32*'BTU Conversion Factor'!$F$4</f>
        <v>9385368460962.4629</v>
      </c>
      <c r="Q32" s="156">
        <f>Private_2!Q32*'BTU Conversion Factor'!$F$4</f>
        <v>10092738912774.273</v>
      </c>
      <c r="R32" s="156">
        <f>Private_2!R32*'BTU Conversion Factor'!$F$4</f>
        <v>9861474357659.8418</v>
      </c>
      <c r="S32" s="156">
        <f>Private_2!S32*'BTU Conversion Factor'!$F$4</f>
        <v>8775930119883.6611</v>
      </c>
      <c r="T32" s="156">
        <f>Private_2!T32*'BTU Conversion Factor'!$F$4</f>
        <v>8824183856655.3809</v>
      </c>
      <c r="U32" s="156">
        <f>Private_2!U32*'BTU Conversion Factor'!$F$4</f>
        <v>8866118435747.1055</v>
      </c>
      <c r="V32" s="156">
        <f>Private_2!V32*'BTU Conversion Factor'!$F$4</f>
        <v>8897033351051.375</v>
      </c>
      <c r="W32" s="156">
        <f>Private_2!W32*'BTU Conversion Factor'!$F$4</f>
        <v>8932352482744.459</v>
      </c>
      <c r="X32" s="156">
        <f>Private_2!X32*'BTU Conversion Factor'!$F$4</f>
        <v>8973111702710.6777</v>
      </c>
      <c r="Y32" s="156">
        <f>Private_2!Y32*'BTU Conversion Factor'!$F$4</f>
        <v>9018112181334.4707</v>
      </c>
      <c r="Z32" s="156">
        <f>Private_2!Z32*'BTU Conversion Factor'!$F$4</f>
        <v>9063696783349.0156</v>
      </c>
      <c r="AA32" s="156">
        <f>Private_2!AA32*'BTU Conversion Factor'!$F$4</f>
        <v>9108213472736.5703</v>
      </c>
      <c r="AB32" s="156">
        <f>Private_2!AB32*'BTU Conversion Factor'!$F$4</f>
        <v>9148963976813.4883</v>
      </c>
      <c r="AC32" s="156">
        <f>Private_2!AC32*'BTU Conversion Factor'!$F$4</f>
        <v>9187936328402.1367</v>
      </c>
      <c r="AD32" s="156">
        <f>Private_2!AD32*'BTU Conversion Factor'!$F$4</f>
        <v>9226059530129.3145</v>
      </c>
      <c r="AE32" s="156">
        <f>Private_2!AE32*'BTU Conversion Factor'!$F$4</f>
        <v>9263792025362.4648</v>
      </c>
      <c r="AF32" s="156">
        <f>Private_2!AF32*'BTU Conversion Factor'!$F$4</f>
        <v>9302638154610.1406</v>
      </c>
      <c r="AG32" s="156">
        <f>Private_2!AG32*'BTU Conversion Factor'!$F$4</f>
        <v>9331416208862.1836</v>
      </c>
      <c r="AH32" s="156">
        <f>Private_2!AH32*'BTU Conversion Factor'!$F$4</f>
        <v>9360143240358.9043</v>
      </c>
      <c r="AI32" s="156">
        <f>Private_2!AI32*'BTU Conversion Factor'!$F$4</f>
        <v>9384515962009.877</v>
      </c>
      <c r="AJ32" s="156">
        <f>Private_2!AJ32*'BTU Conversion Factor'!$F$4</f>
        <v>9403034484892.1602</v>
      </c>
      <c r="AK32" s="156">
        <f>Private_2!AK32*'BTU Conversion Factor'!$F$4</f>
        <v>9415712062091.2734</v>
      </c>
      <c r="AL32" s="156">
        <f>Private_2!AL32*'BTU Conversion Factor'!$F$4</f>
        <v>9422909645757.1523</v>
      </c>
      <c r="AM32" s="156">
        <f>Private_2!AM32*'BTU Conversion Factor'!$F$4</f>
        <v>9425218051668.0742</v>
      </c>
      <c r="AN32" s="156">
        <f>Private_2!AN32*'BTU Conversion Factor'!$F$4</f>
        <v>9423917025106.252</v>
      </c>
      <c r="AO32" s="156">
        <f>Private_2!AO32*'BTU Conversion Factor'!$F$4</f>
        <v>9418093844540.8789</v>
      </c>
      <c r="AP32" s="156">
        <f>Private_2!AP32*'BTU Conversion Factor'!$F$4</f>
        <v>9407990794639.8262</v>
      </c>
      <c r="AQ32" s="156">
        <f>Private_2!AQ32*'BTU Conversion Factor'!$F$4</f>
        <v>9392702820308.791</v>
      </c>
      <c r="AR32" s="156">
        <f>Private_2!AR32*'BTU Conversion Factor'!$F$4</f>
        <v>9554055538649.2617</v>
      </c>
      <c r="AS32" s="156">
        <f>Private_2!AS32*'BTU Conversion Factor'!$F$4</f>
        <v>9577576237408.8203</v>
      </c>
      <c r="AT32" s="156">
        <f>Private_2!AT32*'BTU Conversion Factor'!$F$4</f>
        <v>9600586220521.0586</v>
      </c>
      <c r="AU32" s="156">
        <f>Private_2!AU32*'BTU Conversion Factor'!$F$4</f>
        <v>9623072575547.043</v>
      </c>
    </row>
    <row r="33" spans="1:47">
      <c r="B33" s="54" t="s">
        <v>959</v>
      </c>
      <c r="C33" s="156">
        <f>Private_2!C33*'BTU Conversion Factor'!$F$4</f>
        <v>0</v>
      </c>
      <c r="D33" s="156">
        <f>Private_2!D33*'BTU Conversion Factor'!$F$4</f>
        <v>0</v>
      </c>
      <c r="E33" s="156">
        <f>Private_2!E33*'BTU Conversion Factor'!$F$4</f>
        <v>0</v>
      </c>
      <c r="F33" s="156">
        <f>Private_2!F33*'BTU Conversion Factor'!$F$4</f>
        <v>0</v>
      </c>
      <c r="G33" s="156">
        <f>Private_2!G33*'BTU Conversion Factor'!$F$4</f>
        <v>0</v>
      </c>
      <c r="H33" s="156">
        <f>Private_2!H33*'BTU Conversion Factor'!$F$4</f>
        <v>0</v>
      </c>
      <c r="I33" s="156">
        <f>Private_2!I33*'BTU Conversion Factor'!$F$4</f>
        <v>0</v>
      </c>
      <c r="J33" s="156">
        <f>Private_2!J33*'BTU Conversion Factor'!$F$4</f>
        <v>0</v>
      </c>
      <c r="K33" s="156">
        <f>Private_2!K33*'BTU Conversion Factor'!$F$4</f>
        <v>0</v>
      </c>
      <c r="L33" s="156">
        <f>Private_2!L33*'BTU Conversion Factor'!$F$4</f>
        <v>0</v>
      </c>
      <c r="M33" s="156">
        <f>Private_2!M33*'BTU Conversion Factor'!$F$4</f>
        <v>0</v>
      </c>
      <c r="N33" s="156">
        <f>Private_2!N33*'BTU Conversion Factor'!$F$4</f>
        <v>0</v>
      </c>
      <c r="O33" s="156">
        <f>Private_2!O33*'BTU Conversion Factor'!$F$4</f>
        <v>0</v>
      </c>
      <c r="P33" s="156">
        <f>Private_2!P33*'BTU Conversion Factor'!$F$4</f>
        <v>0</v>
      </c>
      <c r="Q33" s="156">
        <f>Private_2!Q33*'BTU Conversion Factor'!$F$4</f>
        <v>0</v>
      </c>
      <c r="R33" s="156">
        <f>Private_2!R33*'BTU Conversion Factor'!$F$4</f>
        <v>0</v>
      </c>
      <c r="S33" s="156">
        <f>Private_2!S33*'BTU Conversion Factor'!$F$4</f>
        <v>0</v>
      </c>
      <c r="T33" s="156">
        <f>Private_2!T33*'BTU Conversion Factor'!$F$4</f>
        <v>0</v>
      </c>
      <c r="U33" s="156">
        <f>Private_2!U33*'BTU Conversion Factor'!$F$4</f>
        <v>0</v>
      </c>
      <c r="V33" s="156">
        <f>Private_2!V33*'BTU Conversion Factor'!$F$4</f>
        <v>0</v>
      </c>
      <c r="W33" s="156">
        <f>Private_2!W33*'BTU Conversion Factor'!$F$4</f>
        <v>0</v>
      </c>
      <c r="X33" s="156">
        <f>Private_2!X33*'BTU Conversion Factor'!$F$4</f>
        <v>0</v>
      </c>
      <c r="Y33" s="156">
        <f>Private_2!Y33*'BTU Conversion Factor'!$F$4</f>
        <v>0</v>
      </c>
      <c r="Z33" s="156">
        <f>Private_2!Z33*'BTU Conversion Factor'!$F$4</f>
        <v>0</v>
      </c>
      <c r="AA33" s="156">
        <f>Private_2!AA33*'BTU Conversion Factor'!$F$4</f>
        <v>0</v>
      </c>
      <c r="AB33" s="156">
        <f>Private_2!AB33*'BTU Conversion Factor'!$F$4</f>
        <v>0</v>
      </c>
      <c r="AC33" s="156">
        <f>Private_2!AC33*'BTU Conversion Factor'!$F$4</f>
        <v>0</v>
      </c>
      <c r="AD33" s="156">
        <f>Private_2!AD33*'BTU Conversion Factor'!$F$4</f>
        <v>0</v>
      </c>
      <c r="AE33" s="156">
        <f>Private_2!AE33*'BTU Conversion Factor'!$F$4</f>
        <v>0</v>
      </c>
      <c r="AF33" s="156">
        <f>Private_2!AF33*'BTU Conversion Factor'!$F$4</f>
        <v>0</v>
      </c>
      <c r="AG33" s="156">
        <f>Private_2!AG33*'BTU Conversion Factor'!$F$4</f>
        <v>0</v>
      </c>
      <c r="AH33" s="156">
        <f>Private_2!AH33*'BTU Conversion Factor'!$F$4</f>
        <v>0</v>
      </c>
      <c r="AI33" s="156">
        <f>Private_2!AI33*'BTU Conversion Factor'!$F$4</f>
        <v>0</v>
      </c>
      <c r="AJ33" s="156">
        <f>Private_2!AJ33*'BTU Conversion Factor'!$F$4</f>
        <v>0</v>
      </c>
      <c r="AK33" s="156">
        <f>Private_2!AK33*'BTU Conversion Factor'!$F$4</f>
        <v>0</v>
      </c>
      <c r="AL33" s="156">
        <f>Private_2!AL33*'BTU Conversion Factor'!$F$4</f>
        <v>0</v>
      </c>
      <c r="AM33" s="156">
        <f>Private_2!AM33*'BTU Conversion Factor'!$F$4</f>
        <v>0</v>
      </c>
      <c r="AN33" s="156">
        <f>Private_2!AN33*'BTU Conversion Factor'!$F$4</f>
        <v>0</v>
      </c>
      <c r="AO33" s="156">
        <f>Private_2!AO33*'BTU Conversion Factor'!$F$4</f>
        <v>0</v>
      </c>
      <c r="AP33" s="156">
        <f>Private_2!AP33*'BTU Conversion Factor'!$F$4</f>
        <v>0</v>
      </c>
      <c r="AQ33" s="156">
        <f>Private_2!AQ33*'BTU Conversion Factor'!$F$4</f>
        <v>0</v>
      </c>
      <c r="AR33" s="156">
        <f>Private_2!AR33*'BTU Conversion Factor'!$F$4</f>
        <v>0</v>
      </c>
      <c r="AS33" s="156">
        <f>Private_2!AS33*'BTU Conversion Factor'!$F$4</f>
        <v>0</v>
      </c>
      <c r="AT33" s="156">
        <f>Private_2!AT33*'BTU Conversion Factor'!$F$4</f>
        <v>0</v>
      </c>
      <c r="AU33" s="156">
        <f>Private_2!AU33*'BTU Conversion Factor'!$F$4</f>
        <v>0</v>
      </c>
    </row>
    <row r="34" spans="1:47">
      <c r="B34" s="54" t="s">
        <v>960</v>
      </c>
      <c r="C34" s="156">
        <f>Private_2!C34*'BTU Conversion Factor'!$F$4</f>
        <v>8438301610392.1904</v>
      </c>
      <c r="D34" s="156">
        <f>Private_2!D34*'BTU Conversion Factor'!$F$4</f>
        <v>8352117511243.9023</v>
      </c>
      <c r="E34" s="156">
        <f>Private_2!E34*'BTU Conversion Factor'!$F$4</f>
        <v>8653867492596.8662</v>
      </c>
      <c r="F34" s="156">
        <f>Private_2!F34*'BTU Conversion Factor'!$F$4</f>
        <v>8653150641832.0615</v>
      </c>
      <c r="G34" s="156">
        <f>Private_2!G34*'BTU Conversion Factor'!$F$4</f>
        <v>8981742286562.498</v>
      </c>
      <c r="H34" s="156">
        <f>Private_2!H34*'BTU Conversion Factor'!$F$4</f>
        <v>8834120547701.252</v>
      </c>
      <c r="I34" s="156">
        <f>Private_2!I34*'BTU Conversion Factor'!$F$4</f>
        <v>8615919032000</v>
      </c>
      <c r="J34" s="156">
        <f>Private_2!J34*'BTU Conversion Factor'!$F$4</f>
        <v>8638455408538.0313</v>
      </c>
      <c r="K34" s="156">
        <f>Private_2!K34*'BTU Conversion Factor'!$F$4</f>
        <v>8680677022299.8408</v>
      </c>
      <c r="L34" s="156">
        <f>Private_2!L34*'BTU Conversion Factor'!$F$4</f>
        <v>8304740480672.8525</v>
      </c>
      <c r="M34" s="156">
        <f>Private_2!M34*'BTU Conversion Factor'!$F$4</f>
        <v>8649083698876.5137</v>
      </c>
      <c r="N34" s="156">
        <f>Private_2!N34*'BTU Conversion Factor'!$F$4</f>
        <v>8384903185015.7783</v>
      </c>
      <c r="O34" s="156">
        <f>Private_2!O34*'BTU Conversion Factor'!$F$4</f>
        <v>8271221953286.7461</v>
      </c>
      <c r="P34" s="156">
        <f>Private_2!P34*'BTU Conversion Factor'!$F$4</f>
        <v>8114089586233.5508</v>
      </c>
      <c r="Q34" s="156">
        <f>Private_2!Q34*'BTU Conversion Factor'!$F$4</f>
        <v>8735637139120.8018</v>
      </c>
      <c r="R34" s="156">
        <f>Private_2!R34*'BTU Conversion Factor'!$F$4</f>
        <v>8431866585529.2852</v>
      </c>
      <c r="S34" s="156">
        <f>Private_2!S34*'BTU Conversion Factor'!$F$4</f>
        <v>8348723225431.3447</v>
      </c>
      <c r="T34" s="156">
        <f>Private_2!T34*'BTU Conversion Factor'!$F$4</f>
        <v>8305767716824.415</v>
      </c>
      <c r="U34" s="156">
        <f>Private_2!U34*'BTU Conversion Factor'!$F$4</f>
        <v>8255094656015.877</v>
      </c>
      <c r="V34" s="156">
        <f>Private_2!V34*'BTU Conversion Factor'!$F$4</f>
        <v>8192543678956.6719</v>
      </c>
      <c r="W34" s="156">
        <f>Private_2!W34*'BTU Conversion Factor'!$F$4</f>
        <v>8132474872908.1611</v>
      </c>
      <c r="X34" s="156">
        <f>Private_2!X34*'BTU Conversion Factor'!$F$4</f>
        <v>8075659771422.6074</v>
      </c>
      <c r="Y34" s="156">
        <f>Private_2!Y34*'BTU Conversion Factor'!$F$4</f>
        <v>8020835372609.6523</v>
      </c>
      <c r="Z34" s="156">
        <f>Private_2!Z34*'BTU Conversion Factor'!$F$4</f>
        <v>7964625763671.0381</v>
      </c>
      <c r="AA34" s="156">
        <f>Private_2!AA34*'BTU Conversion Factor'!$F$4</f>
        <v>7905549858687.0254</v>
      </c>
      <c r="AB34" s="156">
        <f>Private_2!AB34*'BTU Conversion Factor'!$F$4</f>
        <v>7841300884409.7139</v>
      </c>
      <c r="AC34" s="156">
        <f>Private_2!AC34*'BTU Conversion Factor'!$F$4</f>
        <v>7773655836903.4688</v>
      </c>
      <c r="AD34" s="156">
        <f>Private_2!AD34*'BTU Conversion Factor'!$F$4</f>
        <v>7703421038791.3389</v>
      </c>
      <c r="AE34" s="156">
        <f>Private_2!AE34*'BTU Conversion Factor'!$F$4</f>
        <v>7630974115888.5078</v>
      </c>
      <c r="AF34" s="156">
        <f>Private_2!AF34*'BTU Conversion Factor'!$F$4</f>
        <v>7557521600076.0361</v>
      </c>
      <c r="AG34" s="156">
        <f>Private_2!AG34*'BTU Conversion Factor'!$F$4</f>
        <v>7474039845680.0566</v>
      </c>
      <c r="AH34" s="156">
        <f>Private_2!AH34*'BTU Conversion Factor'!$F$4</f>
        <v>7388755270164.0918</v>
      </c>
      <c r="AI34" s="156">
        <f>Private_2!AI34*'BTU Conversion Factor'!$F$4</f>
        <v>7298295659538.7646</v>
      </c>
      <c r="AJ34" s="156">
        <f>Private_2!AJ34*'BTU Conversion Factor'!$F$4</f>
        <v>7201638650905.6748</v>
      </c>
      <c r="AK34" s="156">
        <f>Private_2!AK34*'BTU Conversion Factor'!$F$4</f>
        <v>7098976958959.916</v>
      </c>
      <c r="AL34" s="156">
        <f>Private_2!AL34*'BTU Conversion Factor'!$F$4</f>
        <v>6990764454588.6318</v>
      </c>
      <c r="AM34" s="156">
        <f>Private_2!AM34*'BTU Conversion Factor'!$F$4</f>
        <v>6877609077016.834</v>
      </c>
      <c r="AN34" s="156">
        <f>Private_2!AN34*'BTU Conversion Factor'!$F$4</f>
        <v>6760587642599.3398</v>
      </c>
      <c r="AO34" s="156">
        <f>Private_2!AO34*'BTU Conversion Factor'!$F$4</f>
        <v>6639171082668.4326</v>
      </c>
      <c r="AP34" s="156">
        <f>Private_2!AP34*'BTU Conversion Factor'!$F$4</f>
        <v>6513678394359.4707</v>
      </c>
      <c r="AQ34" s="156">
        <f>Private_2!AQ34*'BTU Conversion Factor'!$F$4</f>
        <v>6383639738809.291</v>
      </c>
      <c r="AR34" s="156">
        <f>Private_2!AR34*'BTU Conversion Factor'!$F$4</f>
        <v>6370476576603.7363</v>
      </c>
      <c r="AS34" s="156">
        <f>Private_2!AS34*'BTU Conversion Factor'!$F$4</f>
        <v>6261689213641.041</v>
      </c>
      <c r="AT34" s="156">
        <f>Private_2!AT34*'BTU Conversion Factor'!$F$4</f>
        <v>6150594304138.71</v>
      </c>
      <c r="AU34" s="156">
        <f>Private_2!AU34*'BTU Conversion Factor'!$F$4</f>
        <v>6037171328103.6523</v>
      </c>
    </row>
    <row r="35" spans="1:47">
      <c r="B35" s="54" t="s">
        <v>961</v>
      </c>
      <c r="C35" s="156">
        <f>Private_2!C35*'BTU Conversion Factor'!$F$4</f>
        <v>0</v>
      </c>
      <c r="D35" s="156">
        <f>Private_2!D35*'BTU Conversion Factor'!$F$4</f>
        <v>0</v>
      </c>
      <c r="E35" s="156">
        <f>Private_2!E35*'BTU Conversion Factor'!$F$4</f>
        <v>0</v>
      </c>
      <c r="F35" s="156">
        <f>Private_2!F35*'BTU Conversion Factor'!$F$4</f>
        <v>0</v>
      </c>
      <c r="G35" s="156">
        <f>Private_2!G35*'BTU Conversion Factor'!$F$4</f>
        <v>0</v>
      </c>
      <c r="H35" s="156">
        <f>Private_2!H35*'BTU Conversion Factor'!$F$4</f>
        <v>0</v>
      </c>
      <c r="I35" s="156">
        <f>Private_2!I35*'BTU Conversion Factor'!$F$4</f>
        <v>0</v>
      </c>
      <c r="J35" s="156">
        <f>Private_2!J35*'BTU Conversion Factor'!$F$4</f>
        <v>0</v>
      </c>
      <c r="K35" s="156">
        <f>Private_2!K35*'BTU Conversion Factor'!$F$4</f>
        <v>0</v>
      </c>
      <c r="L35" s="156">
        <f>Private_2!L35*'BTU Conversion Factor'!$F$4</f>
        <v>0</v>
      </c>
      <c r="M35" s="156">
        <f>Private_2!M35*'BTU Conversion Factor'!$F$4</f>
        <v>0</v>
      </c>
      <c r="N35" s="156">
        <f>Private_2!N35*'BTU Conversion Factor'!$F$4</f>
        <v>0</v>
      </c>
      <c r="O35" s="156">
        <f>Private_2!O35*'BTU Conversion Factor'!$F$4</f>
        <v>0</v>
      </c>
      <c r="P35" s="156">
        <f>Private_2!P35*'BTU Conversion Factor'!$F$4</f>
        <v>0</v>
      </c>
      <c r="Q35" s="156">
        <f>Private_2!Q35*'BTU Conversion Factor'!$F$4</f>
        <v>0</v>
      </c>
      <c r="R35" s="156">
        <f>Private_2!R35*'BTU Conversion Factor'!$F$4</f>
        <v>0</v>
      </c>
      <c r="S35" s="156">
        <f>Private_2!S35*'BTU Conversion Factor'!$F$4</f>
        <v>0</v>
      </c>
      <c r="T35" s="156">
        <f>Private_2!T35*'BTU Conversion Factor'!$F$4</f>
        <v>0</v>
      </c>
      <c r="U35" s="156">
        <f>Private_2!U35*'BTU Conversion Factor'!$F$4</f>
        <v>0</v>
      </c>
      <c r="V35" s="156">
        <f>Private_2!V35*'BTU Conversion Factor'!$F$4</f>
        <v>0</v>
      </c>
      <c r="W35" s="156">
        <f>Private_2!W35*'BTU Conversion Factor'!$F$4</f>
        <v>0</v>
      </c>
      <c r="X35" s="156">
        <f>Private_2!X35*'BTU Conversion Factor'!$F$4</f>
        <v>0</v>
      </c>
      <c r="Y35" s="156">
        <f>Private_2!Y35*'BTU Conversion Factor'!$F$4</f>
        <v>0</v>
      </c>
      <c r="Z35" s="156">
        <f>Private_2!Z35*'BTU Conversion Factor'!$F$4</f>
        <v>0</v>
      </c>
      <c r="AA35" s="156">
        <f>Private_2!AA35*'BTU Conversion Factor'!$F$4</f>
        <v>0</v>
      </c>
      <c r="AB35" s="156">
        <f>Private_2!AB35*'BTU Conversion Factor'!$F$4</f>
        <v>0</v>
      </c>
      <c r="AC35" s="156">
        <f>Private_2!AC35*'BTU Conversion Factor'!$F$4</f>
        <v>0</v>
      </c>
      <c r="AD35" s="156">
        <f>Private_2!AD35*'BTU Conversion Factor'!$F$4</f>
        <v>0</v>
      </c>
      <c r="AE35" s="156">
        <f>Private_2!AE35*'BTU Conversion Factor'!$F$4</f>
        <v>0</v>
      </c>
      <c r="AF35" s="156">
        <f>Private_2!AF35*'BTU Conversion Factor'!$F$4</f>
        <v>0</v>
      </c>
      <c r="AG35" s="156">
        <f>Private_2!AG35*'BTU Conversion Factor'!$F$4</f>
        <v>0</v>
      </c>
      <c r="AH35" s="156">
        <f>Private_2!AH35*'BTU Conversion Factor'!$F$4</f>
        <v>0</v>
      </c>
      <c r="AI35" s="156">
        <f>Private_2!AI35*'BTU Conversion Factor'!$F$4</f>
        <v>0</v>
      </c>
      <c r="AJ35" s="156">
        <f>Private_2!AJ35*'BTU Conversion Factor'!$F$4</f>
        <v>0</v>
      </c>
      <c r="AK35" s="156">
        <f>Private_2!AK35*'BTU Conversion Factor'!$F$4</f>
        <v>0</v>
      </c>
      <c r="AL35" s="156">
        <f>Private_2!AL35*'BTU Conversion Factor'!$F$4</f>
        <v>0</v>
      </c>
      <c r="AM35" s="156">
        <f>Private_2!AM35*'BTU Conversion Factor'!$F$4</f>
        <v>0</v>
      </c>
      <c r="AN35" s="156">
        <f>Private_2!AN35*'BTU Conversion Factor'!$F$4</f>
        <v>0</v>
      </c>
      <c r="AO35" s="156">
        <f>Private_2!AO35*'BTU Conversion Factor'!$F$4</f>
        <v>0</v>
      </c>
      <c r="AP35" s="156">
        <f>Private_2!AP35*'BTU Conversion Factor'!$F$4</f>
        <v>0</v>
      </c>
      <c r="AQ35" s="156">
        <f>Private_2!AQ35*'BTU Conversion Factor'!$F$4</f>
        <v>0</v>
      </c>
      <c r="AR35" s="156">
        <f>Private_2!AR35*'BTU Conversion Factor'!$F$4</f>
        <v>0</v>
      </c>
      <c r="AS35" s="156">
        <f>Private_2!AS35*'BTU Conversion Factor'!$F$4</f>
        <v>0</v>
      </c>
      <c r="AT35" s="156">
        <f>Private_2!AT35*'BTU Conversion Factor'!$F$4</f>
        <v>0</v>
      </c>
      <c r="AU35" s="156">
        <f>Private_2!AU35*'BTU Conversion Factor'!$F$4</f>
        <v>0</v>
      </c>
    </row>
    <row r="36" spans="1:47">
      <c r="B36" s="54" t="s">
        <v>962</v>
      </c>
      <c r="C36" s="156">
        <f>Private_2!C36*'BTU Conversion Factor'!$F$4</f>
        <v>0</v>
      </c>
      <c r="D36" s="156">
        <f>Private_2!D36*'BTU Conversion Factor'!$F$4</f>
        <v>0</v>
      </c>
      <c r="E36" s="156">
        <f>Private_2!E36*'BTU Conversion Factor'!$F$4</f>
        <v>0</v>
      </c>
      <c r="F36" s="156">
        <f>Private_2!F36*'BTU Conversion Factor'!$F$4</f>
        <v>0</v>
      </c>
      <c r="G36" s="156">
        <f>Private_2!G36*'BTU Conversion Factor'!$F$4</f>
        <v>0</v>
      </c>
      <c r="H36" s="156">
        <f>Private_2!H36*'BTU Conversion Factor'!$F$4</f>
        <v>0</v>
      </c>
      <c r="I36" s="156">
        <f>Private_2!I36*'BTU Conversion Factor'!$F$4</f>
        <v>0</v>
      </c>
      <c r="J36" s="156">
        <f>Private_2!J36*'BTU Conversion Factor'!$F$4</f>
        <v>0</v>
      </c>
      <c r="K36" s="156">
        <f>Private_2!K36*'BTU Conversion Factor'!$F$4</f>
        <v>0</v>
      </c>
      <c r="L36" s="156">
        <f>Private_2!L36*'BTU Conversion Factor'!$F$4</f>
        <v>0</v>
      </c>
      <c r="M36" s="156">
        <f>Private_2!M36*'BTU Conversion Factor'!$F$4</f>
        <v>0</v>
      </c>
      <c r="N36" s="156">
        <f>Private_2!N36*'BTU Conversion Factor'!$F$4</f>
        <v>0</v>
      </c>
      <c r="O36" s="156">
        <f>Private_2!O36*'BTU Conversion Factor'!$F$4</f>
        <v>0</v>
      </c>
      <c r="P36" s="156">
        <f>Private_2!P36*'BTU Conversion Factor'!$F$4</f>
        <v>0</v>
      </c>
      <c r="Q36" s="156">
        <f>Private_2!Q36*'BTU Conversion Factor'!$F$4</f>
        <v>0</v>
      </c>
      <c r="R36" s="156">
        <f>Private_2!R36*'BTU Conversion Factor'!$F$4</f>
        <v>0</v>
      </c>
      <c r="S36" s="156">
        <f>Private_2!S36*'BTU Conversion Factor'!$F$4</f>
        <v>0</v>
      </c>
      <c r="T36" s="156">
        <f>Private_2!T36*'BTU Conversion Factor'!$F$4</f>
        <v>0</v>
      </c>
      <c r="U36" s="156">
        <f>Private_2!U36*'BTU Conversion Factor'!$F$4</f>
        <v>0</v>
      </c>
      <c r="V36" s="156">
        <f>Private_2!V36*'BTU Conversion Factor'!$F$4</f>
        <v>0</v>
      </c>
      <c r="W36" s="156">
        <f>Private_2!W36*'BTU Conversion Factor'!$F$4</f>
        <v>0</v>
      </c>
      <c r="X36" s="156">
        <f>Private_2!X36*'BTU Conversion Factor'!$F$4</f>
        <v>0</v>
      </c>
      <c r="Y36" s="156">
        <f>Private_2!Y36*'BTU Conversion Factor'!$F$4</f>
        <v>0</v>
      </c>
      <c r="Z36" s="156">
        <f>Private_2!Z36*'BTU Conversion Factor'!$F$4</f>
        <v>0</v>
      </c>
      <c r="AA36" s="156">
        <f>Private_2!AA36*'BTU Conversion Factor'!$F$4</f>
        <v>0</v>
      </c>
      <c r="AB36" s="156">
        <f>Private_2!AB36*'BTU Conversion Factor'!$F$4</f>
        <v>0</v>
      </c>
      <c r="AC36" s="156">
        <f>Private_2!AC36*'BTU Conversion Factor'!$F$4</f>
        <v>0</v>
      </c>
      <c r="AD36" s="156">
        <f>Private_2!AD36*'BTU Conversion Factor'!$F$4</f>
        <v>0</v>
      </c>
      <c r="AE36" s="156">
        <f>Private_2!AE36*'BTU Conversion Factor'!$F$4</f>
        <v>0</v>
      </c>
      <c r="AF36" s="156">
        <f>Private_2!AF36*'BTU Conversion Factor'!$F$4</f>
        <v>0</v>
      </c>
      <c r="AG36" s="156">
        <f>Private_2!AG36*'BTU Conversion Factor'!$F$4</f>
        <v>0</v>
      </c>
      <c r="AH36" s="156">
        <f>Private_2!AH36*'BTU Conversion Factor'!$F$4</f>
        <v>0</v>
      </c>
      <c r="AI36" s="156">
        <f>Private_2!AI36*'BTU Conversion Factor'!$F$4</f>
        <v>0</v>
      </c>
      <c r="AJ36" s="156">
        <f>Private_2!AJ36*'BTU Conversion Factor'!$F$4</f>
        <v>0</v>
      </c>
      <c r="AK36" s="156">
        <f>Private_2!AK36*'BTU Conversion Factor'!$F$4</f>
        <v>0</v>
      </c>
      <c r="AL36" s="156">
        <f>Private_2!AL36*'BTU Conversion Factor'!$F$4</f>
        <v>0</v>
      </c>
      <c r="AM36" s="156">
        <f>Private_2!AM36*'BTU Conversion Factor'!$F$4</f>
        <v>0</v>
      </c>
      <c r="AN36" s="156">
        <f>Private_2!AN36*'BTU Conversion Factor'!$F$4</f>
        <v>0</v>
      </c>
      <c r="AO36" s="156">
        <f>Private_2!AO36*'BTU Conversion Factor'!$F$4</f>
        <v>0</v>
      </c>
      <c r="AP36" s="156">
        <f>Private_2!AP36*'BTU Conversion Factor'!$F$4</f>
        <v>0</v>
      </c>
      <c r="AQ36" s="156">
        <f>Private_2!AQ36*'BTU Conversion Factor'!$F$4</f>
        <v>0</v>
      </c>
      <c r="AR36" s="156">
        <f>Private_2!AR36*'BTU Conversion Factor'!$F$4</f>
        <v>0</v>
      </c>
      <c r="AS36" s="156">
        <f>Private_2!AS36*'BTU Conversion Factor'!$F$4</f>
        <v>0</v>
      </c>
      <c r="AT36" s="156">
        <f>Private_2!AT36*'BTU Conversion Factor'!$F$4</f>
        <v>0</v>
      </c>
      <c r="AU36" s="156">
        <f>Private_2!AU36*'BTU Conversion Factor'!$F$4</f>
        <v>0</v>
      </c>
    </row>
    <row r="37" spans="1:47">
      <c r="B37" s="54" t="s">
        <v>963</v>
      </c>
      <c r="C37" s="156">
        <f>Private_2!C37*'BTU Conversion Factor'!$F$4</f>
        <v>0</v>
      </c>
      <c r="D37" s="156">
        <f>Private_2!D37*'BTU Conversion Factor'!$F$4</f>
        <v>0</v>
      </c>
      <c r="E37" s="156">
        <f>Private_2!E37*'BTU Conversion Factor'!$F$4</f>
        <v>0</v>
      </c>
      <c r="F37" s="156">
        <f>Private_2!F37*'BTU Conversion Factor'!$F$4</f>
        <v>0</v>
      </c>
      <c r="G37" s="156">
        <f>Private_2!G37*'BTU Conversion Factor'!$F$4</f>
        <v>0</v>
      </c>
      <c r="H37" s="156">
        <f>Private_2!H37*'BTU Conversion Factor'!$F$4</f>
        <v>0</v>
      </c>
      <c r="I37" s="156">
        <f>Private_2!I37*'BTU Conversion Factor'!$F$4</f>
        <v>0</v>
      </c>
      <c r="J37" s="156">
        <f>Private_2!J37*'BTU Conversion Factor'!$F$4</f>
        <v>0</v>
      </c>
      <c r="K37" s="156">
        <f>Private_2!K37*'BTU Conversion Factor'!$F$4</f>
        <v>0</v>
      </c>
      <c r="L37" s="156">
        <f>Private_2!L37*'BTU Conversion Factor'!$F$4</f>
        <v>0</v>
      </c>
      <c r="M37" s="156">
        <f>Private_2!M37*'BTU Conversion Factor'!$F$4</f>
        <v>0</v>
      </c>
      <c r="N37" s="156">
        <f>Private_2!N37*'BTU Conversion Factor'!$F$4</f>
        <v>0</v>
      </c>
      <c r="O37" s="156">
        <f>Private_2!O37*'BTU Conversion Factor'!$F$4</f>
        <v>0</v>
      </c>
      <c r="P37" s="156">
        <f>Private_2!P37*'BTU Conversion Factor'!$F$4</f>
        <v>0</v>
      </c>
      <c r="Q37" s="156">
        <f>Private_2!Q37*'BTU Conversion Factor'!$F$4</f>
        <v>0</v>
      </c>
      <c r="R37" s="156">
        <f>Private_2!R37*'BTU Conversion Factor'!$F$4</f>
        <v>0</v>
      </c>
      <c r="S37" s="156">
        <f>Private_2!S37*'BTU Conversion Factor'!$F$4</f>
        <v>0</v>
      </c>
      <c r="T37" s="156">
        <f>Private_2!T37*'BTU Conversion Factor'!$F$4</f>
        <v>0</v>
      </c>
      <c r="U37" s="156">
        <f>Private_2!U37*'BTU Conversion Factor'!$F$4</f>
        <v>0</v>
      </c>
      <c r="V37" s="156">
        <f>Private_2!V37*'BTU Conversion Factor'!$F$4</f>
        <v>0</v>
      </c>
      <c r="W37" s="156">
        <f>Private_2!W37*'BTU Conversion Factor'!$F$4</f>
        <v>0</v>
      </c>
      <c r="X37" s="156">
        <f>Private_2!X37*'BTU Conversion Factor'!$F$4</f>
        <v>0</v>
      </c>
      <c r="Y37" s="156">
        <f>Private_2!Y37*'BTU Conversion Factor'!$F$4</f>
        <v>0</v>
      </c>
      <c r="Z37" s="156">
        <f>Private_2!Z37*'BTU Conversion Factor'!$F$4</f>
        <v>0</v>
      </c>
      <c r="AA37" s="156">
        <f>Private_2!AA37*'BTU Conversion Factor'!$F$4</f>
        <v>0</v>
      </c>
      <c r="AB37" s="156">
        <f>Private_2!AB37*'BTU Conversion Factor'!$F$4</f>
        <v>0</v>
      </c>
      <c r="AC37" s="156">
        <f>Private_2!AC37*'BTU Conversion Factor'!$F$4</f>
        <v>0</v>
      </c>
      <c r="AD37" s="156">
        <f>Private_2!AD37*'BTU Conversion Factor'!$F$4</f>
        <v>0</v>
      </c>
      <c r="AE37" s="156">
        <f>Private_2!AE37*'BTU Conversion Factor'!$F$4</f>
        <v>0</v>
      </c>
      <c r="AF37" s="156">
        <f>Private_2!AF37*'BTU Conversion Factor'!$F$4</f>
        <v>0</v>
      </c>
      <c r="AG37" s="156">
        <f>Private_2!AG37*'BTU Conversion Factor'!$F$4</f>
        <v>0</v>
      </c>
      <c r="AH37" s="156">
        <f>Private_2!AH37*'BTU Conversion Factor'!$F$4</f>
        <v>0</v>
      </c>
      <c r="AI37" s="156">
        <f>Private_2!AI37*'BTU Conversion Factor'!$F$4</f>
        <v>0</v>
      </c>
      <c r="AJ37" s="156">
        <f>Private_2!AJ37*'BTU Conversion Factor'!$F$4</f>
        <v>0</v>
      </c>
      <c r="AK37" s="156">
        <f>Private_2!AK37*'BTU Conversion Factor'!$F$4</f>
        <v>0</v>
      </c>
      <c r="AL37" s="156">
        <f>Private_2!AL37*'BTU Conversion Factor'!$F$4</f>
        <v>0</v>
      </c>
      <c r="AM37" s="156">
        <f>Private_2!AM37*'BTU Conversion Factor'!$F$4</f>
        <v>0</v>
      </c>
      <c r="AN37" s="156">
        <f>Private_2!AN37*'BTU Conversion Factor'!$F$4</f>
        <v>0</v>
      </c>
      <c r="AO37" s="156">
        <f>Private_2!AO37*'BTU Conversion Factor'!$F$4</f>
        <v>0</v>
      </c>
      <c r="AP37" s="156">
        <f>Private_2!AP37*'BTU Conversion Factor'!$F$4</f>
        <v>0</v>
      </c>
      <c r="AQ37" s="156">
        <f>Private_2!AQ37*'BTU Conversion Factor'!$F$4</f>
        <v>0</v>
      </c>
      <c r="AR37" s="156">
        <f>Private_2!AR37*'BTU Conversion Factor'!$F$4</f>
        <v>0</v>
      </c>
      <c r="AS37" s="156">
        <f>Private_2!AS37*'BTU Conversion Factor'!$F$4</f>
        <v>0</v>
      </c>
      <c r="AT37" s="156">
        <f>Private_2!AT37*'BTU Conversion Factor'!$F$4</f>
        <v>0</v>
      </c>
      <c r="AU37" s="156">
        <f>Private_2!AU37*'BTU Conversion Factor'!$F$4</f>
        <v>0</v>
      </c>
    </row>
    <row r="39" spans="1:47" s="58" customFormat="1">
      <c r="A39" s="108" t="s">
        <v>516</v>
      </c>
    </row>
    <row r="40" spans="1:47" s="54" customFormat="1">
      <c r="B40" s="54" t="s">
        <v>481</v>
      </c>
      <c r="C40" s="54">
        <v>2006</v>
      </c>
      <c r="D40" s="54">
        <v>2007</v>
      </c>
      <c r="E40" s="54">
        <v>2008</v>
      </c>
      <c r="F40" s="54">
        <v>2009</v>
      </c>
      <c r="G40" s="54">
        <v>2010</v>
      </c>
      <c r="H40" s="54">
        <v>2011</v>
      </c>
      <c r="I40" s="54">
        <v>2012</v>
      </c>
      <c r="J40" s="54">
        <v>2013</v>
      </c>
      <c r="K40" s="54">
        <v>2014</v>
      </c>
      <c r="L40" s="54">
        <v>2015</v>
      </c>
      <c r="M40" s="54">
        <v>2016</v>
      </c>
      <c r="N40" s="54">
        <v>2017</v>
      </c>
      <c r="O40" s="54">
        <v>2018</v>
      </c>
      <c r="P40" s="54">
        <v>2019</v>
      </c>
      <c r="Q40" s="54">
        <v>2020</v>
      </c>
      <c r="R40" s="54">
        <v>2021</v>
      </c>
      <c r="S40" s="54">
        <v>2022</v>
      </c>
      <c r="T40" s="54">
        <v>2023</v>
      </c>
      <c r="U40" s="54">
        <v>2024</v>
      </c>
      <c r="V40" s="54">
        <v>2025</v>
      </c>
      <c r="W40" s="54">
        <v>2026</v>
      </c>
      <c r="X40" s="54">
        <v>2027</v>
      </c>
      <c r="Y40" s="54">
        <v>2028</v>
      </c>
      <c r="Z40" s="54">
        <v>2029</v>
      </c>
      <c r="AA40" s="54">
        <v>2030</v>
      </c>
      <c r="AB40" s="54">
        <v>2031</v>
      </c>
      <c r="AC40" s="54">
        <v>2032</v>
      </c>
      <c r="AD40" s="54">
        <v>2033</v>
      </c>
      <c r="AE40" s="54">
        <v>2034</v>
      </c>
      <c r="AF40" s="54">
        <v>2035</v>
      </c>
      <c r="AG40" s="54">
        <v>2036</v>
      </c>
      <c r="AH40" s="54">
        <v>2037</v>
      </c>
      <c r="AI40" s="54">
        <v>2038</v>
      </c>
      <c r="AJ40" s="54">
        <v>2039</v>
      </c>
      <c r="AK40" s="54">
        <v>2040</v>
      </c>
      <c r="AL40" s="54">
        <v>2041</v>
      </c>
      <c r="AM40" s="54">
        <v>2042</v>
      </c>
      <c r="AN40" s="54">
        <v>2043</v>
      </c>
      <c r="AO40" s="54">
        <v>2044</v>
      </c>
      <c r="AP40" s="54">
        <v>2045</v>
      </c>
      <c r="AQ40" s="54">
        <v>2046</v>
      </c>
      <c r="AR40" s="54">
        <v>2047</v>
      </c>
      <c r="AS40" s="54">
        <v>2048</v>
      </c>
      <c r="AT40" s="54">
        <v>2049</v>
      </c>
      <c r="AU40" s="54">
        <v>2050</v>
      </c>
    </row>
    <row r="41" spans="1:47">
      <c r="B41" s="54" t="s">
        <v>958</v>
      </c>
      <c r="C41" s="156">
        <f>Private_2!C41*'BTU Conversion Factor'!$F$4</f>
        <v>809982925117.67322</v>
      </c>
      <c r="D41" s="156">
        <f>Private_2!D41*'BTU Conversion Factor'!$F$4</f>
        <v>856331179396.29333</v>
      </c>
      <c r="E41" s="156">
        <f>Private_2!E41*'BTU Conversion Factor'!$F$4</f>
        <v>891719598838.82349</v>
      </c>
      <c r="F41" s="156">
        <f>Private_2!F41*'BTU Conversion Factor'!$F$4</f>
        <v>1056716482133.3335</v>
      </c>
      <c r="G41" s="156">
        <f>Private_2!G41*'BTU Conversion Factor'!$F$4</f>
        <v>1196376835785.4255</v>
      </c>
      <c r="H41" s="156">
        <f>Private_2!H41*'BTU Conversion Factor'!$F$4</f>
        <v>1452253010065.2881</v>
      </c>
      <c r="I41" s="156">
        <f>Private_2!I41*'BTU Conversion Factor'!$F$4</f>
        <v>1815946115271.3374</v>
      </c>
      <c r="J41" s="156">
        <f>Private_2!J41*'BTU Conversion Factor'!$F$4</f>
        <v>1833431223212.9221</v>
      </c>
      <c r="K41" s="156">
        <f>Private_2!K41*'BTU Conversion Factor'!$F$4</f>
        <v>2049611525777.7576</v>
      </c>
      <c r="L41" s="156">
        <f>Private_2!L41*'BTU Conversion Factor'!$F$4</f>
        <v>2065276490146.6272</v>
      </c>
      <c r="M41" s="156">
        <f>Private_2!M41*'BTU Conversion Factor'!$F$4</f>
        <v>2216966364604.355</v>
      </c>
      <c r="N41" s="156">
        <f>Private_2!N41*'BTU Conversion Factor'!$F$4</f>
        <v>951044657813.97778</v>
      </c>
      <c r="O41" s="156">
        <f>Private_2!O41*'BTU Conversion Factor'!$F$4</f>
        <v>962049160840.25916</v>
      </c>
      <c r="P41" s="156">
        <f>Private_2!P41*'BTU Conversion Factor'!$F$4</f>
        <v>969026167526.99097</v>
      </c>
      <c r="Q41" s="156">
        <f>Private_2!Q41*'BTU Conversion Factor'!$F$4</f>
        <v>1040622409495.7484</v>
      </c>
      <c r="R41" s="156">
        <f>Private_2!R41*'BTU Conversion Factor'!$F$4</f>
        <v>1020120685753.0541</v>
      </c>
      <c r="S41" s="156">
        <f>Private_2!S41*'BTU Conversion Factor'!$F$4</f>
        <v>2491345448850.5</v>
      </c>
      <c r="T41" s="156">
        <f>Private_2!T41*'BTU Conversion Factor'!$F$4</f>
        <v>2520387635531.3218</v>
      </c>
      <c r="U41" s="156">
        <f>Private_2!U41*'BTU Conversion Factor'!$F$4</f>
        <v>2547930495480.6548</v>
      </c>
      <c r="V41" s="156">
        <f>Private_2!V41*'BTU Conversion Factor'!$F$4</f>
        <v>2572585873451.9985</v>
      </c>
      <c r="W41" s="156">
        <f>Private_2!W41*'BTU Conversion Factor'!$F$4</f>
        <v>2598786401965.9233</v>
      </c>
      <c r="X41" s="156">
        <f>Private_2!X41*'BTU Conversion Factor'!$F$4</f>
        <v>2626863085237.7563</v>
      </c>
      <c r="Y41" s="156">
        <f>Private_2!Y41*'BTU Conversion Factor'!$F$4</f>
        <v>2656496752474.4106</v>
      </c>
      <c r="Z41" s="156">
        <f>Private_2!Z41*'BTU Conversion Factor'!$F$4</f>
        <v>2686631382776.9473</v>
      </c>
      <c r="AA41" s="156">
        <f>Private_2!AA41*'BTU Conversion Factor'!$F$4</f>
        <v>2716782357643.2114</v>
      </c>
      <c r="AB41" s="156">
        <f>Private_2!AB41*'BTU Conversion Factor'!$F$4</f>
        <v>2746138760237.855</v>
      </c>
      <c r="AC41" s="156">
        <f>Private_2!AC41*'BTU Conversion Factor'!$F$4</f>
        <v>2775284690765.0483</v>
      </c>
      <c r="AD41" s="156">
        <f>Private_2!AD41*'BTU Conversion Factor'!$F$4</f>
        <v>2804497252778.7158</v>
      </c>
      <c r="AE41" s="156">
        <f>Private_2!AE41*'BTU Conversion Factor'!$F$4</f>
        <v>2833916692460.209</v>
      </c>
      <c r="AF41" s="156">
        <f>Private_2!AF41*'BTU Conversion Factor'!$F$4</f>
        <v>2864008846378.2124</v>
      </c>
      <c r="AG41" s="156">
        <f>Private_2!AG41*'BTU Conversion Factor'!$F$4</f>
        <v>2891320757835.3643</v>
      </c>
      <c r="AH41" s="156">
        <f>Private_2!AH41*'BTU Conversion Factor'!$F$4</f>
        <v>2918921101021.9409</v>
      </c>
      <c r="AI41" s="156">
        <f>Private_2!AI41*'BTU Conversion Factor'!$F$4</f>
        <v>2945463642884.4917</v>
      </c>
      <c r="AJ41" s="156">
        <f>Private_2!AJ41*'BTU Conversion Factor'!$F$4</f>
        <v>2970452740918.4702</v>
      </c>
      <c r="AK41" s="156">
        <f>Private_2!AK41*'BTU Conversion Factor'!$F$4</f>
        <v>2993861057978.0796</v>
      </c>
      <c r="AL41" s="156">
        <f>Private_2!AL41*'BTU Conversion Factor'!$F$4</f>
        <v>3015771984048.4932</v>
      </c>
      <c r="AM41" s="156">
        <f>Private_2!AM41*'BTU Conversion Factor'!$F$4</f>
        <v>3036345319324.9863</v>
      </c>
      <c r="AN41" s="156">
        <f>Private_2!AN41*'BTU Conversion Factor'!$F$4</f>
        <v>3055968646144.1143</v>
      </c>
      <c r="AO41" s="156">
        <f>Private_2!AO41*'BTU Conversion Factor'!$F$4</f>
        <v>3074324283206.5732</v>
      </c>
      <c r="AP41" s="156">
        <f>Private_2!AP41*'BTU Conversion Factor'!$F$4</f>
        <v>3091465728554.8345</v>
      </c>
      <c r="AQ41" s="156">
        <f>Private_2!AQ41*'BTU Conversion Factor'!$F$4</f>
        <v>3107068509251.3345</v>
      </c>
      <c r="AR41" s="156">
        <f>Private_2!AR41*'BTU Conversion Factor'!$F$4</f>
        <v>3181651778908</v>
      </c>
      <c r="AS41" s="156">
        <f>Private_2!AS41*'BTU Conversion Factor'!$F$4</f>
        <v>3210977184717.4526</v>
      </c>
      <c r="AT41" s="156">
        <f>Private_2!AT41*'BTU Conversion Factor'!$F$4</f>
        <v>3240472162705.2075</v>
      </c>
      <c r="AU41" s="156">
        <f>Private_2!AU41*'BTU Conversion Factor'!$F$4</f>
        <v>3270134469389.4854</v>
      </c>
    </row>
    <row r="42" spans="1:47">
      <c r="B42" s="54" t="s">
        <v>959</v>
      </c>
      <c r="C42" s="156">
        <f>Private_2!C42*'BTU Conversion Factor'!$F$4</f>
        <v>0</v>
      </c>
      <c r="D42" s="156">
        <f>Private_2!D42*'BTU Conversion Factor'!$F$4</f>
        <v>0</v>
      </c>
      <c r="E42" s="156">
        <f>Private_2!E42*'BTU Conversion Factor'!$F$4</f>
        <v>0</v>
      </c>
      <c r="F42" s="156">
        <f>Private_2!F42*'BTU Conversion Factor'!$F$4</f>
        <v>0</v>
      </c>
      <c r="G42" s="156">
        <f>Private_2!G42*'BTU Conversion Factor'!$F$4</f>
        <v>0</v>
      </c>
      <c r="H42" s="156">
        <f>Private_2!H42*'BTU Conversion Factor'!$F$4</f>
        <v>0</v>
      </c>
      <c r="I42" s="156">
        <f>Private_2!I42*'BTU Conversion Factor'!$F$4</f>
        <v>0</v>
      </c>
      <c r="J42" s="156">
        <f>Private_2!J42*'BTU Conversion Factor'!$F$4</f>
        <v>0</v>
      </c>
      <c r="K42" s="156">
        <f>Private_2!K42*'BTU Conversion Factor'!$F$4</f>
        <v>0</v>
      </c>
      <c r="L42" s="156">
        <f>Private_2!L42*'BTU Conversion Factor'!$F$4</f>
        <v>0</v>
      </c>
      <c r="M42" s="156">
        <f>Private_2!M42*'BTU Conversion Factor'!$F$4</f>
        <v>0</v>
      </c>
      <c r="N42" s="156">
        <f>Private_2!N42*'BTU Conversion Factor'!$F$4</f>
        <v>0</v>
      </c>
      <c r="O42" s="156">
        <f>Private_2!O42*'BTU Conversion Factor'!$F$4</f>
        <v>0</v>
      </c>
      <c r="P42" s="156">
        <f>Private_2!P42*'BTU Conversion Factor'!$F$4</f>
        <v>0</v>
      </c>
      <c r="Q42" s="156">
        <f>Private_2!Q42*'BTU Conversion Factor'!$F$4</f>
        <v>0</v>
      </c>
      <c r="R42" s="156">
        <f>Private_2!R42*'BTU Conversion Factor'!$F$4</f>
        <v>0</v>
      </c>
      <c r="S42" s="156">
        <f>Private_2!S42*'BTU Conversion Factor'!$F$4</f>
        <v>0</v>
      </c>
      <c r="T42" s="156">
        <f>Private_2!T42*'BTU Conversion Factor'!$F$4</f>
        <v>0</v>
      </c>
      <c r="U42" s="156">
        <f>Private_2!U42*'BTU Conversion Factor'!$F$4</f>
        <v>0</v>
      </c>
      <c r="V42" s="156">
        <f>Private_2!V42*'BTU Conversion Factor'!$F$4</f>
        <v>0</v>
      </c>
      <c r="W42" s="156">
        <f>Private_2!W42*'BTU Conversion Factor'!$F$4</f>
        <v>0</v>
      </c>
      <c r="X42" s="156">
        <f>Private_2!X42*'BTU Conversion Factor'!$F$4</f>
        <v>0</v>
      </c>
      <c r="Y42" s="156">
        <f>Private_2!Y42*'BTU Conversion Factor'!$F$4</f>
        <v>0</v>
      </c>
      <c r="Z42" s="156">
        <f>Private_2!Z42*'BTU Conversion Factor'!$F$4</f>
        <v>0</v>
      </c>
      <c r="AA42" s="156">
        <f>Private_2!AA42*'BTU Conversion Factor'!$F$4</f>
        <v>0</v>
      </c>
      <c r="AB42" s="156">
        <f>Private_2!AB42*'BTU Conversion Factor'!$F$4</f>
        <v>0</v>
      </c>
      <c r="AC42" s="156">
        <f>Private_2!AC42*'BTU Conversion Factor'!$F$4</f>
        <v>0</v>
      </c>
      <c r="AD42" s="156">
        <f>Private_2!AD42*'BTU Conversion Factor'!$F$4</f>
        <v>0</v>
      </c>
      <c r="AE42" s="156">
        <f>Private_2!AE42*'BTU Conversion Factor'!$F$4</f>
        <v>0</v>
      </c>
      <c r="AF42" s="156">
        <f>Private_2!AF42*'BTU Conversion Factor'!$F$4</f>
        <v>0</v>
      </c>
      <c r="AG42" s="156">
        <f>Private_2!AG42*'BTU Conversion Factor'!$F$4</f>
        <v>0</v>
      </c>
      <c r="AH42" s="156">
        <f>Private_2!AH42*'BTU Conversion Factor'!$F$4</f>
        <v>0</v>
      </c>
      <c r="AI42" s="156">
        <f>Private_2!AI42*'BTU Conversion Factor'!$F$4</f>
        <v>0</v>
      </c>
      <c r="AJ42" s="156">
        <f>Private_2!AJ42*'BTU Conversion Factor'!$F$4</f>
        <v>0</v>
      </c>
      <c r="AK42" s="156">
        <f>Private_2!AK42*'BTU Conversion Factor'!$F$4</f>
        <v>0</v>
      </c>
      <c r="AL42" s="156">
        <f>Private_2!AL42*'BTU Conversion Factor'!$F$4</f>
        <v>0</v>
      </c>
      <c r="AM42" s="156">
        <f>Private_2!AM42*'BTU Conversion Factor'!$F$4</f>
        <v>0</v>
      </c>
      <c r="AN42" s="156">
        <f>Private_2!AN42*'BTU Conversion Factor'!$F$4</f>
        <v>0</v>
      </c>
      <c r="AO42" s="156">
        <f>Private_2!AO42*'BTU Conversion Factor'!$F$4</f>
        <v>0</v>
      </c>
      <c r="AP42" s="156">
        <f>Private_2!AP42*'BTU Conversion Factor'!$F$4</f>
        <v>0</v>
      </c>
      <c r="AQ42" s="156">
        <f>Private_2!AQ42*'BTU Conversion Factor'!$F$4</f>
        <v>0</v>
      </c>
      <c r="AR42" s="156">
        <f>Private_2!AR42*'BTU Conversion Factor'!$F$4</f>
        <v>0</v>
      </c>
      <c r="AS42" s="156">
        <f>Private_2!AS42*'BTU Conversion Factor'!$F$4</f>
        <v>0</v>
      </c>
      <c r="AT42" s="156">
        <f>Private_2!AT42*'BTU Conversion Factor'!$F$4</f>
        <v>0</v>
      </c>
      <c r="AU42" s="156">
        <f>Private_2!AU42*'BTU Conversion Factor'!$F$4</f>
        <v>0</v>
      </c>
    </row>
    <row r="43" spans="1:47">
      <c r="B43" s="54" t="s">
        <v>960</v>
      </c>
      <c r="C43" s="156">
        <f>Private_2!C43*'BTU Conversion Factor'!$F$4</f>
        <v>8245561607.8096399</v>
      </c>
      <c r="D43" s="156">
        <f>Private_2!D43*'BTU Conversion Factor'!$F$4</f>
        <v>9269830756.0975609</v>
      </c>
      <c r="E43" s="156">
        <f>Private_2!E43*'BTU Conversion Factor'!$F$4</f>
        <v>10285081403.133902</v>
      </c>
      <c r="F43" s="156">
        <f>Private_2!F43*'BTU Conversion Factor'!$F$4</f>
        <v>6195573251.9083977</v>
      </c>
      <c r="G43" s="156">
        <f>Private_2!G43*'BTU Conversion Factor'!$F$4</f>
        <v>3191050078.125</v>
      </c>
      <c r="H43" s="156">
        <f>Private_2!H43*'BTU Conversion Factor'!$F$4</f>
        <v>2105116298.7492559</v>
      </c>
      <c r="I43" s="156">
        <f>Private_2!I43*'BTU Conversion Factor'!$F$4</f>
        <v>1059899007.5039982</v>
      </c>
      <c r="J43" s="156">
        <f>Private_2!J43*'BTU Conversion Factor'!$F$4</f>
        <v>2144335461.9679861</v>
      </c>
      <c r="K43" s="156">
        <f>Private_2!K43*'BTU Conversion Factor'!$F$4</f>
        <v>4273038160.1279054</v>
      </c>
      <c r="L43" s="156">
        <f>Private_2!L43*'BTU Conversion Factor'!$F$4</f>
        <v>9645459327.1461716</v>
      </c>
      <c r="M43" s="156">
        <f>Private_2!M43*'BTU Conversion Factor'!$F$4</f>
        <v>20158561123.485497</v>
      </c>
      <c r="N43" s="156">
        <f>Private_2!N43*'BTU Conversion Factor'!$F$4</f>
        <v>0</v>
      </c>
      <c r="O43" s="156">
        <f>Private_2!O43*'BTU Conversion Factor'!$F$4</f>
        <v>0</v>
      </c>
      <c r="P43" s="156">
        <f>Private_2!P43*'BTU Conversion Factor'!$F$4</f>
        <v>0</v>
      </c>
      <c r="Q43" s="156">
        <f>Private_2!Q43*'BTU Conversion Factor'!$F$4</f>
        <v>0</v>
      </c>
      <c r="R43" s="156">
        <f>Private_2!R43*'BTU Conversion Factor'!$F$4</f>
        <v>0</v>
      </c>
      <c r="S43" s="156">
        <f>Private_2!S43*'BTU Conversion Factor'!$F$4</f>
        <v>0</v>
      </c>
      <c r="T43" s="156">
        <f>Private_2!T43*'BTU Conversion Factor'!$F$4</f>
        <v>0</v>
      </c>
      <c r="U43" s="156">
        <f>Private_2!U43*'BTU Conversion Factor'!$F$4</f>
        <v>0</v>
      </c>
      <c r="V43" s="156">
        <f>Private_2!V43*'BTU Conversion Factor'!$F$4</f>
        <v>0</v>
      </c>
      <c r="W43" s="156">
        <f>Private_2!W43*'BTU Conversion Factor'!$F$4</f>
        <v>0</v>
      </c>
      <c r="X43" s="156">
        <f>Private_2!X43*'BTU Conversion Factor'!$F$4</f>
        <v>0</v>
      </c>
      <c r="Y43" s="156">
        <f>Private_2!Y43*'BTU Conversion Factor'!$F$4</f>
        <v>0</v>
      </c>
      <c r="Z43" s="156">
        <f>Private_2!Z43*'BTU Conversion Factor'!$F$4</f>
        <v>0</v>
      </c>
      <c r="AA43" s="156">
        <f>Private_2!AA43*'BTU Conversion Factor'!$F$4</f>
        <v>0</v>
      </c>
      <c r="AB43" s="156">
        <f>Private_2!AB43*'BTU Conversion Factor'!$F$4</f>
        <v>0</v>
      </c>
      <c r="AC43" s="156">
        <f>Private_2!AC43*'BTU Conversion Factor'!$F$4</f>
        <v>0</v>
      </c>
      <c r="AD43" s="156">
        <f>Private_2!AD43*'BTU Conversion Factor'!$F$4</f>
        <v>0</v>
      </c>
      <c r="AE43" s="156">
        <f>Private_2!AE43*'BTU Conversion Factor'!$F$4</f>
        <v>0</v>
      </c>
      <c r="AF43" s="156">
        <f>Private_2!AF43*'BTU Conversion Factor'!$F$4</f>
        <v>0</v>
      </c>
      <c r="AG43" s="156">
        <f>Private_2!AG43*'BTU Conversion Factor'!$F$4</f>
        <v>0</v>
      </c>
      <c r="AH43" s="156">
        <f>Private_2!AH43*'BTU Conversion Factor'!$F$4</f>
        <v>0</v>
      </c>
      <c r="AI43" s="156">
        <f>Private_2!AI43*'BTU Conversion Factor'!$F$4</f>
        <v>0</v>
      </c>
      <c r="AJ43" s="156">
        <f>Private_2!AJ43*'BTU Conversion Factor'!$F$4</f>
        <v>0</v>
      </c>
      <c r="AK43" s="156">
        <f>Private_2!AK43*'BTU Conversion Factor'!$F$4</f>
        <v>0</v>
      </c>
      <c r="AL43" s="156">
        <f>Private_2!AL43*'BTU Conversion Factor'!$F$4</f>
        <v>0</v>
      </c>
      <c r="AM43" s="156">
        <f>Private_2!AM43*'BTU Conversion Factor'!$F$4</f>
        <v>0</v>
      </c>
      <c r="AN43" s="156">
        <f>Private_2!AN43*'BTU Conversion Factor'!$F$4</f>
        <v>0</v>
      </c>
      <c r="AO43" s="156">
        <f>Private_2!AO43*'BTU Conversion Factor'!$F$4</f>
        <v>0</v>
      </c>
      <c r="AP43" s="156">
        <f>Private_2!AP43*'BTU Conversion Factor'!$F$4</f>
        <v>0</v>
      </c>
      <c r="AQ43" s="156">
        <f>Private_2!AQ43*'BTU Conversion Factor'!$F$4</f>
        <v>0</v>
      </c>
      <c r="AR43" s="156">
        <f>Private_2!AR43*'BTU Conversion Factor'!$F$4</f>
        <v>0</v>
      </c>
      <c r="AS43" s="156">
        <f>Private_2!AS43*'BTU Conversion Factor'!$F$4</f>
        <v>0</v>
      </c>
      <c r="AT43" s="156">
        <f>Private_2!AT43*'BTU Conversion Factor'!$F$4</f>
        <v>0</v>
      </c>
      <c r="AU43" s="156">
        <f>Private_2!AU43*'BTU Conversion Factor'!$F$4</f>
        <v>0</v>
      </c>
    </row>
    <row r="44" spans="1:47">
      <c r="B44" s="54" t="s">
        <v>961</v>
      </c>
      <c r="C44" s="156">
        <f>Private_2!C44*'BTU Conversion Factor'!$F$4</f>
        <v>0</v>
      </c>
      <c r="D44" s="156">
        <f>Private_2!D44*'BTU Conversion Factor'!$F$4</f>
        <v>0</v>
      </c>
      <c r="E44" s="156">
        <f>Private_2!E44*'BTU Conversion Factor'!$F$4</f>
        <v>0</v>
      </c>
      <c r="F44" s="156">
        <f>Private_2!F44*'BTU Conversion Factor'!$F$4</f>
        <v>0</v>
      </c>
      <c r="G44" s="156">
        <f>Private_2!G44*'BTU Conversion Factor'!$F$4</f>
        <v>0</v>
      </c>
      <c r="H44" s="156">
        <f>Private_2!H44*'BTU Conversion Factor'!$F$4</f>
        <v>0</v>
      </c>
      <c r="I44" s="156">
        <f>Private_2!I44*'BTU Conversion Factor'!$F$4</f>
        <v>0</v>
      </c>
      <c r="J44" s="156">
        <f>Private_2!J44*'BTU Conversion Factor'!$F$4</f>
        <v>0</v>
      </c>
      <c r="K44" s="156">
        <f>Private_2!K44*'BTU Conversion Factor'!$F$4</f>
        <v>0</v>
      </c>
      <c r="L44" s="156">
        <f>Private_2!L44*'BTU Conversion Factor'!$F$4</f>
        <v>0</v>
      </c>
      <c r="M44" s="156">
        <f>Private_2!M44*'BTU Conversion Factor'!$F$4</f>
        <v>0</v>
      </c>
      <c r="N44" s="156">
        <f>Private_2!N44*'BTU Conversion Factor'!$F$4</f>
        <v>0</v>
      </c>
      <c r="O44" s="156">
        <f>Private_2!O44*'BTU Conversion Factor'!$F$4</f>
        <v>0</v>
      </c>
      <c r="P44" s="156">
        <f>Private_2!P44*'BTU Conversion Factor'!$F$4</f>
        <v>0</v>
      </c>
      <c r="Q44" s="156">
        <f>Private_2!Q44*'BTU Conversion Factor'!$F$4</f>
        <v>0</v>
      </c>
      <c r="R44" s="156">
        <f>Private_2!R44*'BTU Conversion Factor'!$F$4</f>
        <v>0</v>
      </c>
      <c r="S44" s="156">
        <f>Private_2!S44*'BTU Conversion Factor'!$F$4</f>
        <v>0</v>
      </c>
      <c r="T44" s="156">
        <f>Private_2!T44*'BTU Conversion Factor'!$F$4</f>
        <v>0</v>
      </c>
      <c r="U44" s="156">
        <f>Private_2!U44*'BTU Conversion Factor'!$F$4</f>
        <v>0</v>
      </c>
      <c r="V44" s="156">
        <f>Private_2!V44*'BTU Conversion Factor'!$F$4</f>
        <v>0</v>
      </c>
      <c r="W44" s="156">
        <f>Private_2!W44*'BTU Conversion Factor'!$F$4</f>
        <v>0</v>
      </c>
      <c r="X44" s="156">
        <f>Private_2!X44*'BTU Conversion Factor'!$F$4</f>
        <v>0</v>
      </c>
      <c r="Y44" s="156">
        <f>Private_2!Y44*'BTU Conversion Factor'!$F$4</f>
        <v>0</v>
      </c>
      <c r="Z44" s="156">
        <f>Private_2!Z44*'BTU Conversion Factor'!$F$4</f>
        <v>0</v>
      </c>
      <c r="AA44" s="156">
        <f>Private_2!AA44*'BTU Conversion Factor'!$F$4</f>
        <v>0</v>
      </c>
      <c r="AB44" s="156">
        <f>Private_2!AB44*'BTU Conversion Factor'!$F$4</f>
        <v>0</v>
      </c>
      <c r="AC44" s="156">
        <f>Private_2!AC44*'BTU Conversion Factor'!$F$4</f>
        <v>0</v>
      </c>
      <c r="AD44" s="156">
        <f>Private_2!AD44*'BTU Conversion Factor'!$F$4</f>
        <v>0</v>
      </c>
      <c r="AE44" s="156">
        <f>Private_2!AE44*'BTU Conversion Factor'!$F$4</f>
        <v>0</v>
      </c>
      <c r="AF44" s="156">
        <f>Private_2!AF44*'BTU Conversion Factor'!$F$4</f>
        <v>0</v>
      </c>
      <c r="AG44" s="156">
        <f>Private_2!AG44*'BTU Conversion Factor'!$F$4</f>
        <v>0</v>
      </c>
      <c r="AH44" s="156">
        <f>Private_2!AH44*'BTU Conversion Factor'!$F$4</f>
        <v>0</v>
      </c>
      <c r="AI44" s="156">
        <f>Private_2!AI44*'BTU Conversion Factor'!$F$4</f>
        <v>0</v>
      </c>
      <c r="AJ44" s="156">
        <f>Private_2!AJ44*'BTU Conversion Factor'!$F$4</f>
        <v>0</v>
      </c>
      <c r="AK44" s="156">
        <f>Private_2!AK44*'BTU Conversion Factor'!$F$4</f>
        <v>0</v>
      </c>
      <c r="AL44" s="156">
        <f>Private_2!AL44*'BTU Conversion Factor'!$F$4</f>
        <v>0</v>
      </c>
      <c r="AM44" s="156">
        <f>Private_2!AM44*'BTU Conversion Factor'!$F$4</f>
        <v>0</v>
      </c>
      <c r="AN44" s="156">
        <f>Private_2!AN44*'BTU Conversion Factor'!$F$4</f>
        <v>0</v>
      </c>
      <c r="AO44" s="156">
        <f>Private_2!AO44*'BTU Conversion Factor'!$F$4</f>
        <v>0</v>
      </c>
      <c r="AP44" s="156">
        <f>Private_2!AP44*'BTU Conversion Factor'!$F$4</f>
        <v>0</v>
      </c>
      <c r="AQ44" s="156">
        <f>Private_2!AQ44*'BTU Conversion Factor'!$F$4</f>
        <v>0</v>
      </c>
      <c r="AR44" s="156">
        <f>Private_2!AR44*'BTU Conversion Factor'!$F$4</f>
        <v>0</v>
      </c>
      <c r="AS44" s="156">
        <f>Private_2!AS44*'BTU Conversion Factor'!$F$4</f>
        <v>0</v>
      </c>
      <c r="AT44" s="156">
        <f>Private_2!AT44*'BTU Conversion Factor'!$F$4</f>
        <v>0</v>
      </c>
      <c r="AU44" s="156">
        <f>Private_2!AU44*'BTU Conversion Factor'!$F$4</f>
        <v>0</v>
      </c>
    </row>
    <row r="45" spans="1:47">
      <c r="B45" s="54" t="s">
        <v>962</v>
      </c>
      <c r="C45" s="156">
        <f>Private_2!C45*'BTU Conversion Factor'!$F$4</f>
        <v>0</v>
      </c>
      <c r="D45" s="156">
        <f>Private_2!D45*'BTU Conversion Factor'!$F$4</f>
        <v>0</v>
      </c>
      <c r="E45" s="156">
        <f>Private_2!E45*'BTU Conversion Factor'!$F$4</f>
        <v>0</v>
      </c>
      <c r="F45" s="156">
        <f>Private_2!F45*'BTU Conversion Factor'!$F$4</f>
        <v>0</v>
      </c>
      <c r="G45" s="156">
        <f>Private_2!G45*'BTU Conversion Factor'!$F$4</f>
        <v>0</v>
      </c>
      <c r="H45" s="156">
        <f>Private_2!H45*'BTU Conversion Factor'!$F$4</f>
        <v>0</v>
      </c>
      <c r="I45" s="156">
        <f>Private_2!I45*'BTU Conversion Factor'!$F$4</f>
        <v>0</v>
      </c>
      <c r="J45" s="156">
        <f>Private_2!J45*'BTU Conversion Factor'!$F$4</f>
        <v>0</v>
      </c>
      <c r="K45" s="156">
        <f>Private_2!K45*'BTU Conversion Factor'!$F$4</f>
        <v>0</v>
      </c>
      <c r="L45" s="156">
        <f>Private_2!L45*'BTU Conversion Factor'!$F$4</f>
        <v>0</v>
      </c>
      <c r="M45" s="156">
        <f>Private_2!M45*'BTU Conversion Factor'!$F$4</f>
        <v>0</v>
      </c>
      <c r="N45" s="156">
        <f>Private_2!N45*'BTU Conversion Factor'!$F$4</f>
        <v>0</v>
      </c>
      <c r="O45" s="156">
        <f>Private_2!O45*'BTU Conversion Factor'!$F$4</f>
        <v>0</v>
      </c>
      <c r="P45" s="156">
        <f>Private_2!P45*'BTU Conversion Factor'!$F$4</f>
        <v>0</v>
      </c>
      <c r="Q45" s="156">
        <f>Private_2!Q45*'BTU Conversion Factor'!$F$4</f>
        <v>0</v>
      </c>
      <c r="R45" s="156">
        <f>Private_2!R45*'BTU Conversion Factor'!$F$4</f>
        <v>0</v>
      </c>
      <c r="S45" s="156">
        <f>Private_2!S45*'BTU Conversion Factor'!$F$4</f>
        <v>0</v>
      </c>
      <c r="T45" s="156">
        <f>Private_2!T45*'BTU Conversion Factor'!$F$4</f>
        <v>0</v>
      </c>
      <c r="U45" s="156">
        <f>Private_2!U45*'BTU Conversion Factor'!$F$4</f>
        <v>0</v>
      </c>
      <c r="V45" s="156">
        <f>Private_2!V45*'BTU Conversion Factor'!$F$4</f>
        <v>0</v>
      </c>
      <c r="W45" s="156">
        <f>Private_2!W45*'BTU Conversion Factor'!$F$4</f>
        <v>0</v>
      </c>
      <c r="X45" s="156">
        <f>Private_2!X45*'BTU Conversion Factor'!$F$4</f>
        <v>0</v>
      </c>
      <c r="Y45" s="156">
        <f>Private_2!Y45*'BTU Conversion Factor'!$F$4</f>
        <v>0</v>
      </c>
      <c r="Z45" s="156">
        <f>Private_2!Z45*'BTU Conversion Factor'!$F$4</f>
        <v>0</v>
      </c>
      <c r="AA45" s="156">
        <f>Private_2!AA45*'BTU Conversion Factor'!$F$4</f>
        <v>0</v>
      </c>
      <c r="AB45" s="156">
        <f>Private_2!AB45*'BTU Conversion Factor'!$F$4</f>
        <v>0</v>
      </c>
      <c r="AC45" s="156">
        <f>Private_2!AC45*'BTU Conversion Factor'!$F$4</f>
        <v>0</v>
      </c>
      <c r="AD45" s="156">
        <f>Private_2!AD45*'BTU Conversion Factor'!$F$4</f>
        <v>0</v>
      </c>
      <c r="AE45" s="156">
        <f>Private_2!AE45*'BTU Conversion Factor'!$F$4</f>
        <v>0</v>
      </c>
      <c r="AF45" s="156">
        <f>Private_2!AF45*'BTU Conversion Factor'!$F$4</f>
        <v>0</v>
      </c>
      <c r="AG45" s="156">
        <f>Private_2!AG45*'BTU Conversion Factor'!$F$4</f>
        <v>0</v>
      </c>
      <c r="AH45" s="156">
        <f>Private_2!AH45*'BTU Conversion Factor'!$F$4</f>
        <v>0</v>
      </c>
      <c r="AI45" s="156">
        <f>Private_2!AI45*'BTU Conversion Factor'!$F$4</f>
        <v>0</v>
      </c>
      <c r="AJ45" s="156">
        <f>Private_2!AJ45*'BTU Conversion Factor'!$F$4</f>
        <v>0</v>
      </c>
      <c r="AK45" s="156">
        <f>Private_2!AK45*'BTU Conversion Factor'!$F$4</f>
        <v>0</v>
      </c>
      <c r="AL45" s="156">
        <f>Private_2!AL45*'BTU Conversion Factor'!$F$4</f>
        <v>0</v>
      </c>
      <c r="AM45" s="156">
        <f>Private_2!AM45*'BTU Conversion Factor'!$F$4</f>
        <v>0</v>
      </c>
      <c r="AN45" s="156">
        <f>Private_2!AN45*'BTU Conversion Factor'!$F$4</f>
        <v>0</v>
      </c>
      <c r="AO45" s="156">
        <f>Private_2!AO45*'BTU Conversion Factor'!$F$4</f>
        <v>0</v>
      </c>
      <c r="AP45" s="156">
        <f>Private_2!AP45*'BTU Conversion Factor'!$F$4</f>
        <v>0</v>
      </c>
      <c r="AQ45" s="156">
        <f>Private_2!AQ45*'BTU Conversion Factor'!$F$4</f>
        <v>0</v>
      </c>
      <c r="AR45" s="156">
        <f>Private_2!AR45*'BTU Conversion Factor'!$F$4</f>
        <v>0</v>
      </c>
      <c r="AS45" s="156">
        <f>Private_2!AS45*'BTU Conversion Factor'!$F$4</f>
        <v>0</v>
      </c>
      <c r="AT45" s="156">
        <f>Private_2!AT45*'BTU Conversion Factor'!$F$4</f>
        <v>0</v>
      </c>
      <c r="AU45" s="156">
        <f>Private_2!AU45*'BTU Conversion Factor'!$F$4</f>
        <v>0</v>
      </c>
    </row>
    <row r="46" spans="1:47">
      <c r="B46" s="54" t="s">
        <v>963</v>
      </c>
      <c r="C46" s="156">
        <f>Private_2!C46*'BTU Conversion Factor'!$F$4</f>
        <v>0</v>
      </c>
      <c r="D46" s="156">
        <f>Private_2!D46*'BTU Conversion Factor'!$F$4</f>
        <v>0</v>
      </c>
      <c r="E46" s="156">
        <f>Private_2!E46*'BTU Conversion Factor'!$F$4</f>
        <v>0</v>
      </c>
      <c r="F46" s="156">
        <f>Private_2!F46*'BTU Conversion Factor'!$F$4</f>
        <v>0</v>
      </c>
      <c r="G46" s="156">
        <f>Private_2!G46*'BTU Conversion Factor'!$F$4</f>
        <v>0</v>
      </c>
      <c r="H46" s="156">
        <f>Private_2!H46*'BTU Conversion Factor'!$F$4</f>
        <v>0</v>
      </c>
      <c r="I46" s="156">
        <f>Private_2!I46*'BTU Conversion Factor'!$F$4</f>
        <v>0</v>
      </c>
      <c r="J46" s="156">
        <f>Private_2!J46*'BTU Conversion Factor'!$F$4</f>
        <v>0</v>
      </c>
      <c r="K46" s="156">
        <f>Private_2!K46*'BTU Conversion Factor'!$F$4</f>
        <v>0</v>
      </c>
      <c r="L46" s="156">
        <f>Private_2!L46*'BTU Conversion Factor'!$F$4</f>
        <v>0</v>
      </c>
      <c r="M46" s="156">
        <f>Private_2!M46*'BTU Conversion Factor'!$F$4</f>
        <v>0</v>
      </c>
      <c r="N46" s="156">
        <f>Private_2!N46*'BTU Conversion Factor'!$F$4</f>
        <v>0</v>
      </c>
      <c r="O46" s="156">
        <f>Private_2!O46*'BTU Conversion Factor'!$F$4</f>
        <v>0</v>
      </c>
      <c r="P46" s="156">
        <f>Private_2!P46*'BTU Conversion Factor'!$F$4</f>
        <v>0</v>
      </c>
      <c r="Q46" s="156">
        <f>Private_2!Q46*'BTU Conversion Factor'!$F$4</f>
        <v>0</v>
      </c>
      <c r="R46" s="156">
        <f>Private_2!R46*'BTU Conversion Factor'!$F$4</f>
        <v>0</v>
      </c>
      <c r="S46" s="156">
        <f>Private_2!S46*'BTU Conversion Factor'!$F$4</f>
        <v>0</v>
      </c>
      <c r="T46" s="156">
        <f>Private_2!T46*'BTU Conversion Factor'!$F$4</f>
        <v>0</v>
      </c>
      <c r="U46" s="156">
        <f>Private_2!U46*'BTU Conversion Factor'!$F$4</f>
        <v>0</v>
      </c>
      <c r="V46" s="156">
        <f>Private_2!V46*'BTU Conversion Factor'!$F$4</f>
        <v>0</v>
      </c>
      <c r="W46" s="156">
        <f>Private_2!W46*'BTU Conversion Factor'!$F$4</f>
        <v>0</v>
      </c>
      <c r="X46" s="156">
        <f>Private_2!X46*'BTU Conversion Factor'!$F$4</f>
        <v>0</v>
      </c>
      <c r="Y46" s="156">
        <f>Private_2!Y46*'BTU Conversion Factor'!$F$4</f>
        <v>0</v>
      </c>
      <c r="Z46" s="156">
        <f>Private_2!Z46*'BTU Conversion Factor'!$F$4</f>
        <v>0</v>
      </c>
      <c r="AA46" s="156">
        <f>Private_2!AA46*'BTU Conversion Factor'!$F$4</f>
        <v>0</v>
      </c>
      <c r="AB46" s="156">
        <f>Private_2!AB46*'BTU Conversion Factor'!$F$4</f>
        <v>0</v>
      </c>
      <c r="AC46" s="156">
        <f>Private_2!AC46*'BTU Conversion Factor'!$F$4</f>
        <v>0</v>
      </c>
      <c r="AD46" s="156">
        <f>Private_2!AD46*'BTU Conversion Factor'!$F$4</f>
        <v>0</v>
      </c>
      <c r="AE46" s="156">
        <f>Private_2!AE46*'BTU Conversion Factor'!$F$4</f>
        <v>0</v>
      </c>
      <c r="AF46" s="156">
        <f>Private_2!AF46*'BTU Conversion Factor'!$F$4</f>
        <v>0</v>
      </c>
      <c r="AG46" s="156">
        <f>Private_2!AG46*'BTU Conversion Factor'!$F$4</f>
        <v>0</v>
      </c>
      <c r="AH46" s="156">
        <f>Private_2!AH46*'BTU Conversion Factor'!$F$4</f>
        <v>0</v>
      </c>
      <c r="AI46" s="156">
        <f>Private_2!AI46*'BTU Conversion Factor'!$F$4</f>
        <v>0</v>
      </c>
      <c r="AJ46" s="156">
        <f>Private_2!AJ46*'BTU Conversion Factor'!$F$4</f>
        <v>0</v>
      </c>
      <c r="AK46" s="156">
        <f>Private_2!AK46*'BTU Conversion Factor'!$F$4</f>
        <v>0</v>
      </c>
      <c r="AL46" s="156">
        <f>Private_2!AL46*'BTU Conversion Factor'!$F$4</f>
        <v>0</v>
      </c>
      <c r="AM46" s="156">
        <f>Private_2!AM46*'BTU Conversion Factor'!$F$4</f>
        <v>0</v>
      </c>
      <c r="AN46" s="156">
        <f>Private_2!AN46*'BTU Conversion Factor'!$F$4</f>
        <v>0</v>
      </c>
      <c r="AO46" s="156">
        <f>Private_2!AO46*'BTU Conversion Factor'!$F$4</f>
        <v>0</v>
      </c>
      <c r="AP46" s="156">
        <f>Private_2!AP46*'BTU Conversion Factor'!$F$4</f>
        <v>0</v>
      </c>
      <c r="AQ46" s="156">
        <f>Private_2!AQ46*'BTU Conversion Factor'!$F$4</f>
        <v>0</v>
      </c>
      <c r="AR46" s="156">
        <f>Private_2!AR46*'BTU Conversion Factor'!$F$4</f>
        <v>0</v>
      </c>
      <c r="AS46" s="156">
        <f>Private_2!AS46*'BTU Conversion Factor'!$F$4</f>
        <v>0</v>
      </c>
      <c r="AT46" s="156">
        <f>Private_2!AT46*'BTU Conversion Factor'!$F$4</f>
        <v>0</v>
      </c>
      <c r="AU46" s="156">
        <f>Private_2!AU46*'BTU Conversion Factor'!$F$4</f>
        <v>0</v>
      </c>
    </row>
    <row r="47" spans="1:47">
      <c r="C47" t="s">
        <v>964</v>
      </c>
      <c r="D47">
        <v>1055</v>
      </c>
      <c r="E47" t="s">
        <v>965</v>
      </c>
    </row>
    <row r="48" spans="1:47">
      <c r="A48" t="s">
        <v>802</v>
      </c>
      <c r="B48" s="54" t="s">
        <v>966</v>
      </c>
      <c r="C48" s="156">
        <f>SUM(C5:C10)+SUM(C14:C19)+SUM(C23:C28)+SUM(C32:C37)+SUM(C41:C46)</f>
        <v>24842785800000</v>
      </c>
      <c r="D48" s="156">
        <f t="shared" ref="D48:AT48" si="0">SUM(D5:D10)+SUM(D14:D19)+SUM(D23:D28)+SUM(D32:D37)+SUM(D41:D46)</f>
        <v>25337537400000</v>
      </c>
      <c r="E48" s="156">
        <f t="shared" si="0"/>
        <v>25992457722000</v>
      </c>
      <c r="F48" s="156">
        <f t="shared" si="0"/>
        <v>27055155855261.75</v>
      </c>
      <c r="G48" s="156">
        <f t="shared" si="0"/>
        <v>27229230316640.621</v>
      </c>
      <c r="H48" s="156">
        <f t="shared" si="0"/>
        <v>27613205200000.008</v>
      </c>
      <c r="I48" s="156">
        <f t="shared" si="0"/>
        <v>27792537486535.879</v>
      </c>
      <c r="J48" s="156">
        <f t="shared" si="0"/>
        <v>27002772940795.691</v>
      </c>
      <c r="K48" s="156">
        <f t="shared" si="0"/>
        <v>28953230247882.012</v>
      </c>
      <c r="L48" s="156">
        <f t="shared" si="0"/>
        <v>27713716749501.461</v>
      </c>
      <c r="M48" s="156">
        <f t="shared" si="0"/>
        <v>28896567835991.574</v>
      </c>
      <c r="N48" s="156">
        <f t="shared" si="0"/>
        <v>27302062705838.789</v>
      </c>
      <c r="O48" s="156">
        <f t="shared" si="0"/>
        <v>27301345080044.742</v>
      </c>
      <c r="P48" s="156">
        <f t="shared" si="0"/>
        <v>27168533789145.469</v>
      </c>
      <c r="Q48" s="156">
        <f t="shared" si="0"/>
        <v>29678858733437.641</v>
      </c>
      <c r="R48" s="156">
        <f t="shared" si="0"/>
        <v>29108466584453.406</v>
      </c>
      <c r="S48" s="156">
        <f t="shared" si="0"/>
        <v>30571223528543.645</v>
      </c>
      <c r="T48" s="156">
        <f t="shared" si="0"/>
        <v>30886898203201.117</v>
      </c>
      <c r="U48" s="156">
        <f t="shared" si="0"/>
        <v>31183393274785.387</v>
      </c>
      <c r="V48" s="156">
        <f t="shared" si="0"/>
        <v>31443817330259.313</v>
      </c>
      <c r="W48" s="156">
        <f t="shared" si="0"/>
        <v>31722419717017.594</v>
      </c>
      <c r="X48" s="156">
        <f t="shared" si="0"/>
        <v>32023164198142.953</v>
      </c>
      <c r="Y48" s="156">
        <f t="shared" si="0"/>
        <v>32342078115361.473</v>
      </c>
      <c r="Z48" s="156">
        <f t="shared" si="0"/>
        <v>32666250335712.664</v>
      </c>
      <c r="AA48" s="156">
        <f t="shared" si="0"/>
        <v>32989775586326.734</v>
      </c>
      <c r="AB48" s="156">
        <f t="shared" si="0"/>
        <v>33302822288998.797</v>
      </c>
      <c r="AC48" s="156">
        <f t="shared" si="0"/>
        <v>33612505584095.215</v>
      </c>
      <c r="AD48" s="156">
        <f t="shared" si="0"/>
        <v>33922190322940.289</v>
      </c>
      <c r="AE48" s="156">
        <f t="shared" si="0"/>
        <v>34233570666710.336</v>
      </c>
      <c r="AF48" s="156">
        <f t="shared" si="0"/>
        <v>34552260016972.813</v>
      </c>
      <c r="AG48" s="156">
        <f t="shared" si="0"/>
        <v>34836626399356.293</v>
      </c>
      <c r="AH48" s="156">
        <f t="shared" si="0"/>
        <v>35123728596285.777</v>
      </c>
      <c r="AI48" s="156">
        <f t="shared" si="0"/>
        <v>35397377537445.648</v>
      </c>
      <c r="AJ48" s="156">
        <f t="shared" si="0"/>
        <v>35651676489632.211</v>
      </c>
      <c r="AK48" s="156">
        <f t="shared" si="0"/>
        <v>35886372494742.406</v>
      </c>
      <c r="AL48" s="156">
        <f t="shared" si="0"/>
        <v>36102539436842.578</v>
      </c>
      <c r="AM48" s="156">
        <f t="shared" si="0"/>
        <v>36302159235693.359</v>
      </c>
      <c r="AN48" s="156">
        <f t="shared" si="0"/>
        <v>36489923488023.828</v>
      </c>
      <c r="AO48" s="156">
        <f t="shared" si="0"/>
        <v>36662089311924.016</v>
      </c>
      <c r="AP48" s="156">
        <f t="shared" si="0"/>
        <v>36819353719400.867</v>
      </c>
      <c r="AQ48" s="156">
        <f t="shared" si="0"/>
        <v>36957914277316.93</v>
      </c>
      <c r="AR48" s="156">
        <f t="shared" si="0"/>
        <v>37796786592578.805</v>
      </c>
      <c r="AS48" s="156">
        <f t="shared" si="0"/>
        <v>38096560481223.164</v>
      </c>
      <c r="AT48" s="156">
        <f t="shared" si="0"/>
        <v>38397580786337.055</v>
      </c>
      <c r="AU48" s="156">
        <f>SUM(AU5:AU10)+SUM(AU14:AU19)+SUM(AU23:AU28)+SUM(AU32:AU37)+SUM(AU41:AU46)</f>
        <v>38699816205792.719</v>
      </c>
    </row>
    <row r="49" spans="1:47">
      <c r="A49" t="s">
        <v>802</v>
      </c>
      <c r="B49" s="54" t="s">
        <v>784</v>
      </c>
      <c r="C49" s="56">
        <f>C48*$D$47/10^12</f>
        <v>26209.139018999998</v>
      </c>
      <c r="D49" s="56">
        <f t="shared" ref="D49:AT49" si="1">D48*$D$47/10^12</f>
        <v>26731.101956999999</v>
      </c>
      <c r="E49" s="56">
        <f t="shared" si="1"/>
        <v>27422.042896710002</v>
      </c>
      <c r="F49" s="56">
        <f t="shared" si="1"/>
        <v>28543.189427301149</v>
      </c>
      <c r="G49" s="56">
        <f t="shared" si="1"/>
        <v>28726.837984055855</v>
      </c>
      <c r="H49" s="56">
        <f t="shared" si="1"/>
        <v>29131.931486000009</v>
      </c>
      <c r="I49" s="56">
        <f t="shared" si="1"/>
        <v>29321.127048295351</v>
      </c>
      <c r="J49" s="56">
        <f t="shared" si="1"/>
        <v>28487.925452539457</v>
      </c>
      <c r="K49" s="56">
        <f t="shared" si="1"/>
        <v>30545.657911515525</v>
      </c>
      <c r="L49" s="56">
        <f t="shared" si="1"/>
        <v>29237.971170724039</v>
      </c>
      <c r="M49" s="56">
        <f t="shared" si="1"/>
        <v>30485.879066971112</v>
      </c>
      <c r="N49" s="56">
        <f t="shared" si="1"/>
        <v>28803.676154659923</v>
      </c>
      <c r="O49" s="56">
        <f t="shared" si="1"/>
        <v>28802.919059447206</v>
      </c>
      <c r="P49" s="56">
        <f t="shared" si="1"/>
        <v>28662.803147548468</v>
      </c>
      <c r="Q49" s="56">
        <f t="shared" si="1"/>
        <v>31311.19596377671</v>
      </c>
      <c r="R49" s="56">
        <f t="shared" si="1"/>
        <v>30709.432246598342</v>
      </c>
      <c r="S49" s="56">
        <f t="shared" si="1"/>
        <v>32252.640822613543</v>
      </c>
      <c r="T49" s="56">
        <f t="shared" si="1"/>
        <v>32585.677604377179</v>
      </c>
      <c r="U49" s="56">
        <f t="shared" si="1"/>
        <v>32898.479904898581</v>
      </c>
      <c r="V49" s="56">
        <f t="shared" si="1"/>
        <v>33173.227283423577</v>
      </c>
      <c r="W49" s="56">
        <f t="shared" si="1"/>
        <v>33467.152801453558</v>
      </c>
      <c r="X49" s="56">
        <f t="shared" si="1"/>
        <v>33784.438229040818</v>
      </c>
      <c r="Y49" s="56">
        <f t="shared" si="1"/>
        <v>34120.892411706351</v>
      </c>
      <c r="Z49" s="56">
        <f t="shared" si="1"/>
        <v>34462.894104176863</v>
      </c>
      <c r="AA49" s="56">
        <f t="shared" si="1"/>
        <v>34804.213243574704</v>
      </c>
      <c r="AB49" s="56">
        <f t="shared" si="1"/>
        <v>35134.477514893733</v>
      </c>
      <c r="AC49" s="56">
        <f t="shared" si="1"/>
        <v>35461.193391220455</v>
      </c>
      <c r="AD49" s="56">
        <f t="shared" si="1"/>
        <v>35787.910790702001</v>
      </c>
      <c r="AE49" s="56">
        <f t="shared" si="1"/>
        <v>36116.417053379409</v>
      </c>
      <c r="AF49" s="56">
        <f t="shared" si="1"/>
        <v>36452.634317906319</v>
      </c>
      <c r="AG49" s="56">
        <f t="shared" si="1"/>
        <v>36752.640851320888</v>
      </c>
      <c r="AH49" s="56">
        <f t="shared" si="1"/>
        <v>37055.533669081495</v>
      </c>
      <c r="AI49" s="56">
        <f t="shared" si="1"/>
        <v>37344.233302005159</v>
      </c>
      <c r="AJ49" s="56">
        <f t="shared" si="1"/>
        <v>37612.518696561987</v>
      </c>
      <c r="AK49" s="56">
        <f t="shared" si="1"/>
        <v>37860.122981953238</v>
      </c>
      <c r="AL49" s="56">
        <f t="shared" si="1"/>
        <v>38088.17910586892</v>
      </c>
      <c r="AM49" s="56">
        <f t="shared" si="1"/>
        <v>38298.777993656498</v>
      </c>
      <c r="AN49" s="56">
        <f t="shared" si="1"/>
        <v>38496.869279865139</v>
      </c>
      <c r="AO49" s="56">
        <f t="shared" si="1"/>
        <v>38678.504224079843</v>
      </c>
      <c r="AP49" s="56">
        <f t="shared" si="1"/>
        <v>38844.418173967912</v>
      </c>
      <c r="AQ49" s="56">
        <f t="shared" si="1"/>
        <v>38990.599562569361</v>
      </c>
      <c r="AR49" s="56">
        <f t="shared" si="1"/>
        <v>39875.609855170638</v>
      </c>
      <c r="AS49" s="56">
        <f t="shared" si="1"/>
        <v>40191.871307690439</v>
      </c>
      <c r="AT49" s="56">
        <f t="shared" si="1"/>
        <v>40509.44772958559</v>
      </c>
      <c r="AU49" s="56">
        <f>AU48*$D$47/10^12</f>
        <v>40828.306097111323</v>
      </c>
    </row>
    <row r="50" spans="1:47">
      <c r="A50" t="s">
        <v>779</v>
      </c>
      <c r="B50" s="54" t="s">
        <v>971</v>
      </c>
      <c r="C50">
        <v>4.2248611294117708</v>
      </c>
      <c r="D50">
        <v>4.2029533764705889</v>
      </c>
      <c r="E50">
        <v>4.181045623529414</v>
      </c>
      <c r="F50">
        <v>4.1591378705882391</v>
      </c>
      <c r="G50">
        <v>4.1372301176470643</v>
      </c>
      <c r="H50">
        <v>4.1153223647058823</v>
      </c>
      <c r="I50">
        <v>4.0934146117647074</v>
      </c>
      <c r="J50">
        <v>4.0715068588235326</v>
      </c>
      <c r="K50">
        <v>4.0495991058823577</v>
      </c>
      <c r="L50">
        <v>4.0276913529411829</v>
      </c>
      <c r="M50">
        <v>4.0057836000000009</v>
      </c>
      <c r="N50">
        <v>3.983875847058826</v>
      </c>
      <c r="O50">
        <v>3.9619680941176512</v>
      </c>
      <c r="P50">
        <v>3.9400603411764763</v>
      </c>
      <c r="Q50">
        <v>3.9181525882352943</v>
      </c>
      <c r="R50">
        <v>3.8962448352941195</v>
      </c>
      <c r="S50">
        <v>3.8743370823529446</v>
      </c>
      <c r="T50">
        <v>3.8524293294117697</v>
      </c>
      <c r="U50">
        <v>3.8305215764705878</v>
      </c>
      <c r="V50">
        <v>3.8086138235294129</v>
      </c>
      <c r="W50">
        <v>3.786706070588238</v>
      </c>
      <c r="X50">
        <v>3.7647983176470632</v>
      </c>
      <c r="Y50">
        <v>3.7428905647058883</v>
      </c>
      <c r="Z50">
        <v>3.7209828117647064</v>
      </c>
      <c r="AA50">
        <v>3.6990750588235315</v>
      </c>
      <c r="AB50">
        <v>3.6771673058823566</v>
      </c>
      <c r="AC50">
        <v>3.6552595529411818</v>
      </c>
      <c r="AD50">
        <v>3.6333517999999998</v>
      </c>
      <c r="AE50">
        <v>3.6114440470588249</v>
      </c>
      <c r="AF50">
        <v>3.5895362941176501</v>
      </c>
      <c r="AG50">
        <v>3.5676285411764752</v>
      </c>
      <c r="AH50">
        <v>3.5457207882353003</v>
      </c>
      <c r="AI50">
        <v>3.5238130352941184</v>
      </c>
      <c r="AJ50">
        <v>3.5019052823529435</v>
      </c>
      <c r="AK50">
        <v>3.4799975294117687</v>
      </c>
      <c r="AL50">
        <v>3.4580897764705938</v>
      </c>
      <c r="AM50">
        <v>3.4361820235294118</v>
      </c>
      <c r="AN50">
        <v>3.414274270588237</v>
      </c>
      <c r="AO50">
        <v>3.3923665176470621</v>
      </c>
      <c r="AP50">
        <v>3.3704587647058872</v>
      </c>
      <c r="AQ50">
        <v>3.3485510117647053</v>
      </c>
      <c r="AR50">
        <v>3.3266432588235304</v>
      </c>
      <c r="AS50">
        <v>3.3047355058823555</v>
      </c>
      <c r="AT50">
        <v>3.2828277529411807</v>
      </c>
      <c r="AU50">
        <v>3.2609200000000005</v>
      </c>
    </row>
    <row r="51" spans="1:47">
      <c r="A51" s="54" t="s">
        <v>972</v>
      </c>
      <c r="B51" s="54" t="s">
        <v>973</v>
      </c>
      <c r="C51" s="56">
        <f>C49/C50/1000000*10^6</f>
        <v>6203.5504164959639</v>
      </c>
      <c r="D51" s="56">
        <f t="shared" ref="D51:AT51" si="2">D49/D50/1000000*10^6</f>
        <v>6360.0757759172011</v>
      </c>
      <c r="E51" s="56">
        <f t="shared" si="2"/>
        <v>6558.6567011822717</v>
      </c>
      <c r="F51" s="56">
        <f t="shared" si="2"/>
        <v>6862.7658700970642</v>
      </c>
      <c r="G51" s="56">
        <f t="shared" si="2"/>
        <v>6943.4953259001832</v>
      </c>
      <c r="H51" s="56">
        <f t="shared" si="2"/>
        <v>7078.894167767593</v>
      </c>
      <c r="I51" s="56">
        <f t="shared" si="2"/>
        <v>7162.999556415506</v>
      </c>
      <c r="J51" s="56">
        <f t="shared" si="2"/>
        <v>6996.8997819080387</v>
      </c>
      <c r="K51" s="56">
        <f t="shared" si="2"/>
        <v>7542.8843974075317</v>
      </c>
      <c r="L51" s="56">
        <f t="shared" si="2"/>
        <v>7259.2382604921531</v>
      </c>
      <c r="M51" s="56">
        <f t="shared" si="2"/>
        <v>7610.4657942508693</v>
      </c>
      <c r="N51" s="56">
        <f t="shared" si="2"/>
        <v>7230.0637018909101</v>
      </c>
      <c r="O51" s="56">
        <f t="shared" si="2"/>
        <v>7269.8513403505212</v>
      </c>
      <c r="P51" s="56">
        <f t="shared" si="2"/>
        <v>7274.7117215443313</v>
      </c>
      <c r="Q51" s="56">
        <f t="shared" si="2"/>
        <v>7991.3161263275442</v>
      </c>
      <c r="R51" s="56">
        <f t="shared" si="2"/>
        <v>7881.8024905460416</v>
      </c>
      <c r="S51" s="56">
        <f t="shared" si="2"/>
        <v>8324.6862978236313</v>
      </c>
      <c r="T51" s="56">
        <f t="shared" si="2"/>
        <v>8458.4751122099642</v>
      </c>
      <c r="U51" s="56">
        <f t="shared" si="2"/>
        <v>8588.5118379129399</v>
      </c>
      <c r="V51" s="56">
        <f t="shared" si="2"/>
        <v>8710.0527437255914</v>
      </c>
      <c r="W51" s="56">
        <f t="shared" si="2"/>
        <v>8838.0645810871374</v>
      </c>
      <c r="X51" s="56">
        <f t="shared" si="2"/>
        <v>8973.7710704661422</v>
      </c>
      <c r="Y51" s="56">
        <f t="shared" si="2"/>
        <v>9116.1875619485363</v>
      </c>
      <c r="Z51" s="56">
        <f t="shared" si="2"/>
        <v>9261.7719155312498</v>
      </c>
      <c r="AA51" s="56">
        <f t="shared" si="2"/>
        <v>9408.8961943486411</v>
      </c>
      <c r="AB51" s="56">
        <f t="shared" si="2"/>
        <v>9554.7671868748494</v>
      </c>
      <c r="AC51" s="56">
        <f t="shared" si="2"/>
        <v>9701.4159672154674</v>
      </c>
      <c r="AD51" s="56">
        <f t="shared" si="2"/>
        <v>9849.8336414057139</v>
      </c>
      <c r="AE51" s="56">
        <f t="shared" si="2"/>
        <v>10000.547310927541</v>
      </c>
      <c r="AF51" s="56">
        <f t="shared" si="2"/>
        <v>10155.248848616755</v>
      </c>
      <c r="AG51" s="56">
        <f t="shared" si="2"/>
        <v>10301.700535000538</v>
      </c>
      <c r="AH51" s="56">
        <f t="shared" si="2"/>
        <v>10450.77598665742</v>
      </c>
      <c r="AI51" s="56">
        <f t="shared" si="2"/>
        <v>10597.677268336738</v>
      </c>
      <c r="AJ51" s="56">
        <f t="shared" si="2"/>
        <v>10740.587098715016</v>
      </c>
      <c r="AK51" s="56">
        <f t="shared" si="2"/>
        <v>10879.353408148199</v>
      </c>
      <c r="AL51" s="56">
        <f t="shared" si="2"/>
        <v>11014.225068714843</v>
      </c>
      <c r="AM51" s="56">
        <f t="shared" si="2"/>
        <v>11145.736090638937</v>
      </c>
      <c r="AN51" s="56">
        <f t="shared" si="2"/>
        <v>11275.271471741667</v>
      </c>
      <c r="AO51" s="56">
        <f t="shared" si="2"/>
        <v>11401.628928617998</v>
      </c>
      <c r="AP51" s="56">
        <f t="shared" si="2"/>
        <v>11524.96466674843</v>
      </c>
      <c r="AQ51" s="56">
        <f t="shared" si="2"/>
        <v>11644.021376882383</v>
      </c>
      <c r="AR51" s="56">
        <f t="shared" si="2"/>
        <v>11986.740612900187</v>
      </c>
      <c r="AS51" s="56">
        <f t="shared" si="2"/>
        <v>12161.902589828991</v>
      </c>
      <c r="AT51" s="56">
        <f t="shared" si="2"/>
        <v>12339.802992493895</v>
      </c>
      <c r="AU51" s="56">
        <f>AU49/AU50/1000000*10^6</f>
        <v>12520.486886250297</v>
      </c>
    </row>
  </sheetData>
  <phoneticPr fontId="3"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4" tint="0.79998168889431442"/>
  </sheetPr>
  <dimension ref="A1:AU51"/>
  <sheetViews>
    <sheetView zoomScale="84" zoomScaleNormal="100" workbookViewId="0">
      <selection activeCell="N35" sqref="N35"/>
    </sheetView>
  </sheetViews>
  <sheetFormatPr defaultColWidth="8.7265625" defaultRowHeight="14.5"/>
  <cols>
    <col min="1" max="1" width="5.81640625" customWidth="1"/>
    <col min="2" max="2" width="20.453125" customWidth="1"/>
    <col min="3" max="3" width="12.7265625" bestFit="1" customWidth="1"/>
    <col min="4" max="10" width="11" bestFit="1" customWidth="1"/>
    <col min="11" max="11" width="8.81640625" bestFit="1" customWidth="1"/>
    <col min="12" max="47" width="11" bestFit="1" customWidth="1"/>
  </cols>
  <sheetData>
    <row r="1" spans="1:47" ht="21">
      <c r="A1" s="106" t="s">
        <v>974</v>
      </c>
    </row>
    <row r="2" spans="1:47" ht="21">
      <c r="A2" s="106"/>
    </row>
    <row r="3" spans="1:47" s="58" customFormat="1">
      <c r="A3" s="155" t="s">
        <v>512</v>
      </c>
    </row>
    <row r="4" spans="1:47" s="54" customFormat="1">
      <c r="B4" s="54" t="s">
        <v>481</v>
      </c>
      <c r="C4" s="54">
        <v>2006</v>
      </c>
      <c r="D4" s="54">
        <v>2007</v>
      </c>
      <c r="E4" s="54">
        <v>2008</v>
      </c>
      <c r="F4" s="54">
        <v>2009</v>
      </c>
      <c r="G4" s="54">
        <v>2010</v>
      </c>
      <c r="H4" s="54">
        <v>2011</v>
      </c>
      <c r="I4" s="54">
        <v>2012</v>
      </c>
      <c r="J4" s="54">
        <v>2013</v>
      </c>
      <c r="K4" s="54">
        <v>2014</v>
      </c>
      <c r="L4" s="54">
        <v>2015</v>
      </c>
      <c r="M4" s="54">
        <v>2016</v>
      </c>
      <c r="N4" s="54">
        <v>2017</v>
      </c>
      <c r="O4" s="54">
        <v>2018</v>
      </c>
      <c r="P4" s="54">
        <v>2019</v>
      </c>
      <c r="Q4" s="54">
        <v>2020</v>
      </c>
      <c r="R4" s="54">
        <v>2021</v>
      </c>
      <c r="S4" s="54">
        <v>2022</v>
      </c>
      <c r="T4" s="54">
        <v>2023</v>
      </c>
      <c r="U4" s="54">
        <v>2024</v>
      </c>
      <c r="V4" s="54">
        <v>2025</v>
      </c>
      <c r="W4" s="54">
        <v>2026</v>
      </c>
      <c r="X4" s="54">
        <v>2027</v>
      </c>
      <c r="Y4" s="54">
        <v>2028</v>
      </c>
      <c r="Z4" s="54">
        <v>2029</v>
      </c>
      <c r="AA4" s="54">
        <v>2030</v>
      </c>
      <c r="AB4" s="54">
        <v>2031</v>
      </c>
      <c r="AC4" s="54">
        <v>2032</v>
      </c>
      <c r="AD4" s="54">
        <v>2033</v>
      </c>
      <c r="AE4" s="54">
        <v>2034</v>
      </c>
      <c r="AF4" s="54">
        <v>2035</v>
      </c>
      <c r="AG4" s="54">
        <v>2036</v>
      </c>
      <c r="AH4" s="54">
        <v>2037</v>
      </c>
      <c r="AI4" s="54">
        <v>2038</v>
      </c>
      <c r="AJ4" s="54">
        <v>2039</v>
      </c>
      <c r="AK4" s="54">
        <v>2040</v>
      </c>
      <c r="AL4" s="54">
        <v>2041</v>
      </c>
      <c r="AM4" s="54">
        <v>2042</v>
      </c>
      <c r="AN4" s="54">
        <v>2043</v>
      </c>
      <c r="AO4" s="54">
        <v>2044</v>
      </c>
      <c r="AP4" s="54">
        <v>2045</v>
      </c>
      <c r="AQ4" s="54">
        <v>2046</v>
      </c>
      <c r="AR4" s="54">
        <v>2047</v>
      </c>
      <c r="AS4" s="54">
        <v>2048</v>
      </c>
      <c r="AT4" s="54">
        <v>2049</v>
      </c>
      <c r="AU4" s="54">
        <v>2050</v>
      </c>
    </row>
    <row r="5" spans="1:47">
      <c r="B5" s="54" t="s">
        <v>958</v>
      </c>
      <c r="C5" s="156">
        <f>Public_2!C5*'BTU Conversion Factor'!$F$4</f>
        <v>1811385843305.4368</v>
      </c>
      <c r="D5" s="156">
        <f>Public_2!D5*'BTU Conversion Factor'!$F$4</f>
        <v>1753529148988.9009</v>
      </c>
      <c r="E5" s="156">
        <f>Public_2!E5*'BTU Conversion Factor'!$F$4</f>
        <v>1649382960186.833</v>
      </c>
      <c r="F5" s="156">
        <f>Public_2!F5*'BTU Conversion Factor'!$F$4</f>
        <v>1688126821714.5659</v>
      </c>
      <c r="G5" s="156">
        <f>Public_2!G5*'BTU Conversion Factor'!$F$4</f>
        <v>961715062826.13855</v>
      </c>
      <c r="H5" s="156">
        <f>Public_2!H5*'BTU Conversion Factor'!$F$4</f>
        <v>43296434355.828224</v>
      </c>
      <c r="I5" s="156">
        <f>Public_2!I5*'BTU Conversion Factor'!$F$4</f>
        <v>1002356998279.9324</v>
      </c>
      <c r="J5" s="156">
        <f>Public_2!J5*'BTU Conversion Factor'!$F$4</f>
        <v>839101224692.07336</v>
      </c>
      <c r="K5" s="156">
        <f>Public_2!K5*'BTU Conversion Factor'!$F$4</f>
        <v>792392373713.62659</v>
      </c>
      <c r="L5" s="156">
        <f>Public_2!L5*'BTU Conversion Factor'!$F$4</f>
        <v>705149197335.26697</v>
      </c>
      <c r="M5" s="156">
        <f>Public_2!M5*'BTU Conversion Factor'!$F$4</f>
        <v>648574916377.68396</v>
      </c>
      <c r="N5" s="156">
        <f>Public_2!N5*'BTU Conversion Factor'!$F$4</f>
        <v>591662035176.16504</v>
      </c>
      <c r="O5" s="156">
        <f>Public_2!O5*'BTU Conversion Factor'!$F$4</f>
        <v>604416105006.87854</v>
      </c>
      <c r="P5" s="156">
        <f>Public_2!P5*'BTU Conversion Factor'!$F$4</f>
        <v>606726011038.53662</v>
      </c>
      <c r="Q5" s="156">
        <f>Public_2!Q5*'BTU Conversion Factor'!$F$4</f>
        <v>643856657095.81152</v>
      </c>
      <c r="R5" s="156">
        <f>Public_2!R5*'BTU Conversion Factor'!$F$4</f>
        <v>654714565936.79163</v>
      </c>
      <c r="S5" s="156">
        <f>Public_2!S5*'BTU Conversion Factor'!$F$4</f>
        <v>651508763134.91406</v>
      </c>
      <c r="T5" s="156">
        <f>Public_2!T5*'BTU Conversion Factor'!$F$4</f>
        <v>670990806951.81738</v>
      </c>
      <c r="U5" s="156">
        <f>Public_2!U5*'BTU Conversion Factor'!$F$4</f>
        <v>690431969044.55701</v>
      </c>
      <c r="V5" s="156">
        <f>Public_2!V5*'BTU Conversion Factor'!$F$4</f>
        <v>709432453683.73425</v>
      </c>
      <c r="W5" s="156">
        <f>Public_2!W5*'BTU Conversion Factor'!$F$4</f>
        <v>729198695028.42627</v>
      </c>
      <c r="X5" s="156">
        <f>Public_2!X5*'BTU Conversion Factor'!$F$4</f>
        <v>749851963816.98779</v>
      </c>
      <c r="Y5" s="156">
        <f>Public_2!Y5*'BTU Conversion Factor'!$F$4</f>
        <v>771331676985.17029</v>
      </c>
      <c r="Z5" s="156">
        <f>Public_2!Z5*'BTU Conversion Factor'!$F$4</f>
        <v>793353882429.23828</v>
      </c>
      <c r="AA5" s="156">
        <f>Public_2!AA5*'BTU Conversion Factor'!$F$4</f>
        <v>815785638605.52283</v>
      </c>
      <c r="AB5" s="156">
        <f>Public_2!AB5*'BTU Conversion Factor'!$F$4</f>
        <v>838384880889.87256</v>
      </c>
      <c r="AC5" s="156">
        <f>Public_2!AC5*'BTU Conversion Factor'!$F$4</f>
        <v>861326195581.1991</v>
      </c>
      <c r="AD5" s="156">
        <f>Public_2!AD5*'BTU Conversion Factor'!$F$4</f>
        <v>884699157787.62988</v>
      </c>
      <c r="AE5" s="156">
        <f>Public_2!AE5*'BTU Conversion Factor'!$F$4</f>
        <v>908555225679.65649</v>
      </c>
      <c r="AF5" s="156">
        <f>Public_2!AF5*'BTU Conversion Factor'!$F$4</f>
        <v>933054970423.76233</v>
      </c>
      <c r="AG5" s="156">
        <f>Public_2!AG5*'BTU Conversion Factor'!$F$4</f>
        <v>957071696460.66345</v>
      </c>
      <c r="AH5" s="156">
        <f>Public_2!AH5*'BTU Conversion Factor'!$F$4</f>
        <v>981599325124.95935</v>
      </c>
      <c r="AI5" s="156">
        <f>Public_2!AI5*'BTU Conversion Factor'!$F$4</f>
        <v>1006188271828.1124</v>
      </c>
      <c r="AJ5" s="156">
        <f>Public_2!AJ5*'BTU Conversion Factor'!$F$4</f>
        <v>1030655400102.8843</v>
      </c>
      <c r="AK5" s="156">
        <f>Public_2!AK5*'BTU Conversion Factor'!$F$4</f>
        <v>1054971701842.1857</v>
      </c>
      <c r="AL5" s="156">
        <f>Public_2!AL5*'BTU Conversion Factor'!$F$4</f>
        <v>1079146881892.7762</v>
      </c>
      <c r="AM5" s="156">
        <f>Public_2!AM5*'BTU Conversion Factor'!$F$4</f>
        <v>1103219914693.8271</v>
      </c>
      <c r="AN5" s="156">
        <f>Public_2!AN5*'BTU Conversion Factor'!$F$4</f>
        <v>1127317036278.2639</v>
      </c>
      <c r="AO5" s="156">
        <f>Public_2!AO5*'BTU Conversion Factor'!$F$4</f>
        <v>1151308775758.8943</v>
      </c>
      <c r="AP5" s="156">
        <f>Public_2!AP5*'BTU Conversion Factor'!$F$4</f>
        <v>1175199415076.0425</v>
      </c>
      <c r="AQ5" s="156">
        <f>Public_2!AQ5*'BTU Conversion Factor'!$F$4</f>
        <v>1198848349214.4363</v>
      </c>
      <c r="AR5" s="156">
        <f>Public_2!AR5*'BTU Conversion Factor'!$F$4</f>
        <v>1245933585262.7666</v>
      </c>
      <c r="AS5" s="156">
        <f>Public_2!AS5*'BTU Conversion Factor'!$F$4</f>
        <v>1276062758856.1587</v>
      </c>
      <c r="AT5" s="156">
        <f>Public_2!AT5*'BTU Conversion Factor'!$F$4</f>
        <v>1306774317119.6287</v>
      </c>
      <c r="AU5" s="156">
        <f>Public_2!AU5*'BTU Conversion Factor'!$F$4</f>
        <v>1338078040683.3474</v>
      </c>
    </row>
    <row r="6" spans="1:47">
      <c r="B6" s="54" t="s">
        <v>959</v>
      </c>
      <c r="C6" s="156">
        <f>Public_2!C6*'BTU Conversion Factor'!$F$4</f>
        <v>0</v>
      </c>
      <c r="D6" s="156">
        <f>Public_2!D6*'BTU Conversion Factor'!$F$4</f>
        <v>0</v>
      </c>
      <c r="E6" s="156">
        <f>Public_2!E6*'BTU Conversion Factor'!$F$4</f>
        <v>0</v>
      </c>
      <c r="F6" s="156">
        <f>Public_2!F6*'BTU Conversion Factor'!$F$4</f>
        <v>0</v>
      </c>
      <c r="G6" s="156">
        <f>Public_2!G6*'BTU Conversion Factor'!$F$4</f>
        <v>0</v>
      </c>
      <c r="H6" s="156">
        <f>Public_2!H6*'BTU Conversion Factor'!$F$4</f>
        <v>364154736842.10529</v>
      </c>
      <c r="I6" s="156">
        <f>Public_2!I6*'BTU Conversion Factor'!$F$4</f>
        <v>0</v>
      </c>
      <c r="J6" s="156">
        <f>Public_2!J6*'BTU Conversion Factor'!$F$4</f>
        <v>0</v>
      </c>
      <c r="K6" s="156">
        <f>Public_2!K6*'BTU Conversion Factor'!$F$4</f>
        <v>0</v>
      </c>
      <c r="L6" s="156">
        <f>Public_2!L6*'BTU Conversion Factor'!$F$4</f>
        <v>0</v>
      </c>
      <c r="M6" s="156">
        <f>Public_2!M6*'BTU Conversion Factor'!$F$4</f>
        <v>0</v>
      </c>
      <c r="N6" s="156">
        <f>Public_2!N6*'BTU Conversion Factor'!$F$4</f>
        <v>392080394.98231965</v>
      </c>
      <c r="O6" s="156">
        <f>Public_2!O6*'BTU Conversion Factor'!$F$4</f>
        <v>747567568.88713336</v>
      </c>
      <c r="P6" s="156">
        <f>Public_2!P6*'BTU Conversion Factor'!$F$4</f>
        <v>1165960918.094732</v>
      </c>
      <c r="Q6" s="156">
        <f>Public_2!Q6*'BTU Conversion Factor'!$F$4</f>
        <v>0</v>
      </c>
      <c r="R6" s="156">
        <f>Public_2!R6*'BTU Conversion Factor'!$F$4</f>
        <v>0</v>
      </c>
      <c r="S6" s="156">
        <f>Public_2!S6*'BTU Conversion Factor'!$F$4</f>
        <v>0</v>
      </c>
      <c r="T6" s="156">
        <f>Public_2!T6*'BTU Conversion Factor'!$F$4</f>
        <v>0</v>
      </c>
      <c r="U6" s="156">
        <f>Public_2!U6*'BTU Conversion Factor'!$F$4</f>
        <v>0</v>
      </c>
      <c r="V6" s="156">
        <f>Public_2!V6*'BTU Conversion Factor'!$F$4</f>
        <v>0</v>
      </c>
      <c r="W6" s="156">
        <f>Public_2!W6*'BTU Conversion Factor'!$F$4</f>
        <v>0</v>
      </c>
      <c r="X6" s="156">
        <f>Public_2!X6*'BTU Conversion Factor'!$F$4</f>
        <v>0</v>
      </c>
      <c r="Y6" s="156">
        <f>Public_2!Y6*'BTU Conversion Factor'!$F$4</f>
        <v>0</v>
      </c>
      <c r="Z6" s="156">
        <f>Public_2!Z6*'BTU Conversion Factor'!$F$4</f>
        <v>0</v>
      </c>
      <c r="AA6" s="156">
        <f>Public_2!AA6*'BTU Conversion Factor'!$F$4</f>
        <v>0</v>
      </c>
      <c r="AB6" s="156">
        <f>Public_2!AB6*'BTU Conversion Factor'!$F$4</f>
        <v>0</v>
      </c>
      <c r="AC6" s="156">
        <f>Public_2!AC6*'BTU Conversion Factor'!$F$4</f>
        <v>0</v>
      </c>
      <c r="AD6" s="156">
        <f>Public_2!AD6*'BTU Conversion Factor'!$F$4</f>
        <v>0</v>
      </c>
      <c r="AE6" s="156">
        <f>Public_2!AE6*'BTU Conversion Factor'!$F$4</f>
        <v>0</v>
      </c>
      <c r="AF6" s="156">
        <f>Public_2!AF6*'BTU Conversion Factor'!$F$4</f>
        <v>0</v>
      </c>
      <c r="AG6" s="156">
        <f>Public_2!AG6*'BTU Conversion Factor'!$F$4</f>
        <v>0</v>
      </c>
      <c r="AH6" s="156">
        <f>Public_2!AH6*'BTU Conversion Factor'!$F$4</f>
        <v>0</v>
      </c>
      <c r="AI6" s="156">
        <f>Public_2!AI6*'BTU Conversion Factor'!$F$4</f>
        <v>0</v>
      </c>
      <c r="AJ6" s="156">
        <f>Public_2!AJ6*'BTU Conversion Factor'!$F$4</f>
        <v>0</v>
      </c>
      <c r="AK6" s="156">
        <f>Public_2!AK6*'BTU Conversion Factor'!$F$4</f>
        <v>0</v>
      </c>
      <c r="AL6" s="156">
        <f>Public_2!AL6*'BTU Conversion Factor'!$F$4</f>
        <v>0</v>
      </c>
      <c r="AM6" s="156">
        <f>Public_2!AM6*'BTU Conversion Factor'!$F$4</f>
        <v>0</v>
      </c>
      <c r="AN6" s="156">
        <f>Public_2!AN6*'BTU Conversion Factor'!$F$4</f>
        <v>0</v>
      </c>
      <c r="AO6" s="156">
        <f>Public_2!AO6*'BTU Conversion Factor'!$F$4</f>
        <v>0</v>
      </c>
      <c r="AP6" s="156">
        <f>Public_2!AP6*'BTU Conversion Factor'!$F$4</f>
        <v>0</v>
      </c>
      <c r="AQ6" s="156">
        <f>Public_2!AQ6*'BTU Conversion Factor'!$F$4</f>
        <v>0</v>
      </c>
      <c r="AR6" s="156">
        <f>Public_2!AR6*'BTU Conversion Factor'!$F$4</f>
        <v>0</v>
      </c>
      <c r="AS6" s="156">
        <f>Public_2!AS6*'BTU Conversion Factor'!$F$4</f>
        <v>0</v>
      </c>
      <c r="AT6" s="156">
        <f>Public_2!AT6*'BTU Conversion Factor'!$F$4</f>
        <v>0</v>
      </c>
      <c r="AU6" s="156">
        <f>Public_2!AU6*'BTU Conversion Factor'!$F$4</f>
        <v>0</v>
      </c>
    </row>
    <row r="7" spans="1:47">
      <c r="B7" s="54" t="s">
        <v>960</v>
      </c>
      <c r="C7" s="156">
        <f>Public_2!C7*'BTU Conversion Factor'!$F$4</f>
        <v>0</v>
      </c>
      <c r="D7" s="156">
        <f>Public_2!D7*'BTU Conversion Factor'!$F$4</f>
        <v>0</v>
      </c>
      <c r="E7" s="156">
        <f>Public_2!E7*'BTU Conversion Factor'!$F$4</f>
        <v>0</v>
      </c>
      <c r="F7" s="156">
        <f>Public_2!F7*'BTU Conversion Factor'!$F$4</f>
        <v>0</v>
      </c>
      <c r="G7" s="156">
        <f>Public_2!G7*'BTU Conversion Factor'!$F$4</f>
        <v>0</v>
      </c>
      <c r="H7" s="156">
        <f>Public_2!H7*'BTU Conversion Factor'!$F$4</f>
        <v>728309473684.21057</v>
      </c>
      <c r="I7" s="156">
        <f>Public_2!I7*'BTU Conversion Factor'!$F$4</f>
        <v>0</v>
      </c>
      <c r="J7" s="156">
        <f>Public_2!J7*'BTU Conversion Factor'!$F$4</f>
        <v>0</v>
      </c>
      <c r="K7" s="156">
        <f>Public_2!K7*'BTU Conversion Factor'!$F$4</f>
        <v>0</v>
      </c>
      <c r="L7" s="156">
        <f>Public_2!L7*'BTU Conversion Factor'!$F$4</f>
        <v>0</v>
      </c>
      <c r="M7" s="156">
        <f>Public_2!M7*'BTU Conversion Factor'!$F$4</f>
        <v>0</v>
      </c>
      <c r="N7" s="156">
        <f>Public_2!N7*'BTU Conversion Factor'!$F$4</f>
        <v>784160789.96463931</v>
      </c>
      <c r="O7" s="156">
        <f>Public_2!O7*'BTU Conversion Factor'!$F$4</f>
        <v>1495135137.7742667</v>
      </c>
      <c r="P7" s="156">
        <f>Public_2!P7*'BTU Conversion Factor'!$F$4</f>
        <v>2331921836.1894641</v>
      </c>
      <c r="Q7" s="156">
        <f>Public_2!Q7*'BTU Conversion Factor'!$F$4</f>
        <v>0</v>
      </c>
      <c r="R7" s="156">
        <f>Public_2!R7*'BTU Conversion Factor'!$F$4</f>
        <v>0</v>
      </c>
      <c r="S7" s="156">
        <f>Public_2!S7*'BTU Conversion Factor'!$F$4</f>
        <v>0</v>
      </c>
      <c r="T7" s="156">
        <f>Public_2!T7*'BTU Conversion Factor'!$F$4</f>
        <v>0</v>
      </c>
      <c r="U7" s="156">
        <f>Public_2!U7*'BTU Conversion Factor'!$F$4</f>
        <v>0</v>
      </c>
      <c r="V7" s="156">
        <f>Public_2!V7*'BTU Conversion Factor'!$F$4</f>
        <v>0</v>
      </c>
      <c r="W7" s="156">
        <f>Public_2!W7*'BTU Conversion Factor'!$F$4</f>
        <v>0</v>
      </c>
      <c r="X7" s="156">
        <f>Public_2!X7*'BTU Conversion Factor'!$F$4</f>
        <v>0</v>
      </c>
      <c r="Y7" s="156">
        <f>Public_2!Y7*'BTU Conversion Factor'!$F$4</f>
        <v>0</v>
      </c>
      <c r="Z7" s="156">
        <f>Public_2!Z7*'BTU Conversion Factor'!$F$4</f>
        <v>0</v>
      </c>
      <c r="AA7" s="156">
        <f>Public_2!AA7*'BTU Conversion Factor'!$F$4</f>
        <v>0</v>
      </c>
      <c r="AB7" s="156">
        <f>Public_2!AB7*'BTU Conversion Factor'!$F$4</f>
        <v>0</v>
      </c>
      <c r="AC7" s="156">
        <f>Public_2!AC7*'BTU Conversion Factor'!$F$4</f>
        <v>0</v>
      </c>
      <c r="AD7" s="156">
        <f>Public_2!AD7*'BTU Conversion Factor'!$F$4</f>
        <v>0</v>
      </c>
      <c r="AE7" s="156">
        <f>Public_2!AE7*'BTU Conversion Factor'!$F$4</f>
        <v>0</v>
      </c>
      <c r="AF7" s="156">
        <f>Public_2!AF7*'BTU Conversion Factor'!$F$4</f>
        <v>0</v>
      </c>
      <c r="AG7" s="156">
        <f>Public_2!AG7*'BTU Conversion Factor'!$F$4</f>
        <v>0</v>
      </c>
      <c r="AH7" s="156">
        <f>Public_2!AH7*'BTU Conversion Factor'!$F$4</f>
        <v>0</v>
      </c>
      <c r="AI7" s="156">
        <f>Public_2!AI7*'BTU Conversion Factor'!$F$4</f>
        <v>0</v>
      </c>
      <c r="AJ7" s="156">
        <f>Public_2!AJ7*'BTU Conversion Factor'!$F$4</f>
        <v>0</v>
      </c>
      <c r="AK7" s="156">
        <f>Public_2!AK7*'BTU Conversion Factor'!$F$4</f>
        <v>0</v>
      </c>
      <c r="AL7" s="156">
        <f>Public_2!AL7*'BTU Conversion Factor'!$F$4</f>
        <v>0</v>
      </c>
      <c r="AM7" s="156">
        <f>Public_2!AM7*'BTU Conversion Factor'!$F$4</f>
        <v>0</v>
      </c>
      <c r="AN7" s="156">
        <f>Public_2!AN7*'BTU Conversion Factor'!$F$4</f>
        <v>0</v>
      </c>
      <c r="AO7" s="156">
        <f>Public_2!AO7*'BTU Conversion Factor'!$F$4</f>
        <v>0</v>
      </c>
      <c r="AP7" s="156">
        <f>Public_2!AP7*'BTU Conversion Factor'!$F$4</f>
        <v>0</v>
      </c>
      <c r="AQ7" s="156">
        <f>Public_2!AQ7*'BTU Conversion Factor'!$F$4</f>
        <v>0</v>
      </c>
      <c r="AR7" s="156">
        <f>Public_2!AR7*'BTU Conversion Factor'!$F$4</f>
        <v>0</v>
      </c>
      <c r="AS7" s="156">
        <f>Public_2!AS7*'BTU Conversion Factor'!$F$4</f>
        <v>0</v>
      </c>
      <c r="AT7" s="156">
        <f>Public_2!AT7*'BTU Conversion Factor'!$F$4</f>
        <v>0</v>
      </c>
      <c r="AU7" s="156">
        <f>Public_2!AU7*'BTU Conversion Factor'!$F$4</f>
        <v>0</v>
      </c>
    </row>
    <row r="8" spans="1:47">
      <c r="B8" s="54" t="s">
        <v>961</v>
      </c>
      <c r="C8" s="156">
        <f>Public_2!C8*'BTU Conversion Factor'!$F$4</f>
        <v>0</v>
      </c>
      <c r="D8" s="156">
        <f>Public_2!D8*'BTU Conversion Factor'!$F$4</f>
        <v>0</v>
      </c>
      <c r="E8" s="156">
        <f>Public_2!E8*'BTU Conversion Factor'!$F$4</f>
        <v>0</v>
      </c>
      <c r="F8" s="156">
        <f>Public_2!F8*'BTU Conversion Factor'!$F$4</f>
        <v>0</v>
      </c>
      <c r="G8" s="156">
        <f>Public_2!G8*'BTU Conversion Factor'!$F$4</f>
        <v>0</v>
      </c>
      <c r="H8" s="156">
        <f>Public_2!H8*'BTU Conversion Factor'!$F$4</f>
        <v>364154736842.10529</v>
      </c>
      <c r="I8" s="156">
        <f>Public_2!I8*'BTU Conversion Factor'!$F$4</f>
        <v>0</v>
      </c>
      <c r="J8" s="156">
        <f>Public_2!J8*'BTU Conversion Factor'!$F$4</f>
        <v>0</v>
      </c>
      <c r="K8" s="156">
        <f>Public_2!K8*'BTU Conversion Factor'!$F$4</f>
        <v>0</v>
      </c>
      <c r="L8" s="156">
        <f>Public_2!L8*'BTU Conversion Factor'!$F$4</f>
        <v>0</v>
      </c>
      <c r="M8" s="156">
        <f>Public_2!M8*'BTU Conversion Factor'!$F$4</f>
        <v>0</v>
      </c>
      <c r="N8" s="156">
        <f>Public_2!N8*'BTU Conversion Factor'!$F$4</f>
        <v>392080394.98231965</v>
      </c>
      <c r="O8" s="156">
        <f>Public_2!O8*'BTU Conversion Factor'!$F$4</f>
        <v>747567568.88713336</v>
      </c>
      <c r="P8" s="156">
        <f>Public_2!P8*'BTU Conversion Factor'!$F$4</f>
        <v>1165960918.094732</v>
      </c>
      <c r="Q8" s="156">
        <f>Public_2!Q8*'BTU Conversion Factor'!$F$4</f>
        <v>0</v>
      </c>
      <c r="R8" s="156">
        <f>Public_2!R8*'BTU Conversion Factor'!$F$4</f>
        <v>0</v>
      </c>
      <c r="S8" s="156">
        <f>Public_2!S8*'BTU Conversion Factor'!$F$4</f>
        <v>0</v>
      </c>
      <c r="T8" s="156">
        <f>Public_2!T8*'BTU Conversion Factor'!$F$4</f>
        <v>0</v>
      </c>
      <c r="U8" s="156">
        <f>Public_2!U8*'BTU Conversion Factor'!$F$4</f>
        <v>0</v>
      </c>
      <c r="V8" s="156">
        <f>Public_2!V8*'BTU Conversion Factor'!$F$4</f>
        <v>0</v>
      </c>
      <c r="W8" s="156">
        <f>Public_2!W8*'BTU Conversion Factor'!$F$4</f>
        <v>0</v>
      </c>
      <c r="X8" s="156">
        <f>Public_2!X8*'BTU Conversion Factor'!$F$4</f>
        <v>0</v>
      </c>
      <c r="Y8" s="156">
        <f>Public_2!Y8*'BTU Conversion Factor'!$F$4</f>
        <v>0</v>
      </c>
      <c r="Z8" s="156">
        <f>Public_2!Z8*'BTU Conversion Factor'!$F$4</f>
        <v>0</v>
      </c>
      <c r="AA8" s="156">
        <f>Public_2!AA8*'BTU Conversion Factor'!$F$4</f>
        <v>0</v>
      </c>
      <c r="AB8" s="156">
        <f>Public_2!AB8*'BTU Conversion Factor'!$F$4</f>
        <v>0</v>
      </c>
      <c r="AC8" s="156">
        <f>Public_2!AC8*'BTU Conversion Factor'!$F$4</f>
        <v>0</v>
      </c>
      <c r="AD8" s="156">
        <f>Public_2!AD8*'BTU Conversion Factor'!$F$4</f>
        <v>0</v>
      </c>
      <c r="AE8" s="156">
        <f>Public_2!AE8*'BTU Conversion Factor'!$F$4</f>
        <v>0</v>
      </c>
      <c r="AF8" s="156">
        <f>Public_2!AF8*'BTU Conversion Factor'!$F$4</f>
        <v>0</v>
      </c>
      <c r="AG8" s="156">
        <f>Public_2!AG8*'BTU Conversion Factor'!$F$4</f>
        <v>0</v>
      </c>
      <c r="AH8" s="156">
        <f>Public_2!AH8*'BTU Conversion Factor'!$F$4</f>
        <v>0</v>
      </c>
      <c r="AI8" s="156">
        <f>Public_2!AI8*'BTU Conversion Factor'!$F$4</f>
        <v>0</v>
      </c>
      <c r="AJ8" s="156">
        <f>Public_2!AJ8*'BTU Conversion Factor'!$F$4</f>
        <v>0</v>
      </c>
      <c r="AK8" s="156">
        <f>Public_2!AK8*'BTU Conversion Factor'!$F$4</f>
        <v>0</v>
      </c>
      <c r="AL8" s="156">
        <f>Public_2!AL8*'BTU Conversion Factor'!$F$4</f>
        <v>0</v>
      </c>
      <c r="AM8" s="156">
        <f>Public_2!AM8*'BTU Conversion Factor'!$F$4</f>
        <v>0</v>
      </c>
      <c r="AN8" s="156">
        <f>Public_2!AN8*'BTU Conversion Factor'!$F$4</f>
        <v>0</v>
      </c>
      <c r="AO8" s="156">
        <f>Public_2!AO8*'BTU Conversion Factor'!$F$4</f>
        <v>0</v>
      </c>
      <c r="AP8" s="156">
        <f>Public_2!AP8*'BTU Conversion Factor'!$F$4</f>
        <v>0</v>
      </c>
      <c r="AQ8" s="156">
        <f>Public_2!AQ8*'BTU Conversion Factor'!$F$4</f>
        <v>0</v>
      </c>
      <c r="AR8" s="156">
        <f>Public_2!AR8*'BTU Conversion Factor'!$F$4</f>
        <v>0</v>
      </c>
      <c r="AS8" s="156">
        <f>Public_2!AS8*'BTU Conversion Factor'!$F$4</f>
        <v>0</v>
      </c>
      <c r="AT8" s="156">
        <f>Public_2!AT8*'BTU Conversion Factor'!$F$4</f>
        <v>0</v>
      </c>
      <c r="AU8" s="156">
        <f>Public_2!AU8*'BTU Conversion Factor'!$F$4</f>
        <v>0</v>
      </c>
    </row>
    <row r="9" spans="1:47">
      <c r="B9" s="54" t="s">
        <v>962</v>
      </c>
      <c r="C9" s="156">
        <f>Public_2!C9*'BTU Conversion Factor'!$F$4</f>
        <v>0</v>
      </c>
      <c r="D9" s="156">
        <f>Public_2!D9*'BTU Conversion Factor'!$F$4</f>
        <v>0</v>
      </c>
      <c r="E9" s="156">
        <f>Public_2!E9*'BTU Conversion Factor'!$F$4</f>
        <v>0</v>
      </c>
      <c r="F9" s="156">
        <f>Public_2!F9*'BTU Conversion Factor'!$F$4</f>
        <v>0</v>
      </c>
      <c r="G9" s="156">
        <f>Public_2!G9*'BTU Conversion Factor'!$F$4</f>
        <v>0</v>
      </c>
      <c r="H9" s="156">
        <f>Public_2!H9*'BTU Conversion Factor'!$F$4</f>
        <v>0</v>
      </c>
      <c r="I9" s="156">
        <f>Public_2!I9*'BTU Conversion Factor'!$F$4</f>
        <v>0</v>
      </c>
      <c r="J9" s="156">
        <f>Public_2!J9*'BTU Conversion Factor'!$F$4</f>
        <v>0</v>
      </c>
      <c r="K9" s="156">
        <f>Public_2!K9*'BTU Conversion Factor'!$F$4</f>
        <v>0</v>
      </c>
      <c r="L9" s="156">
        <f>Public_2!L9*'BTU Conversion Factor'!$F$4</f>
        <v>0</v>
      </c>
      <c r="M9" s="156">
        <f>Public_2!M9*'BTU Conversion Factor'!$F$4</f>
        <v>0</v>
      </c>
      <c r="N9" s="156">
        <f>Public_2!N9*'BTU Conversion Factor'!$F$4</f>
        <v>0</v>
      </c>
      <c r="O9" s="156">
        <f>Public_2!O9*'BTU Conversion Factor'!$F$4</f>
        <v>0</v>
      </c>
      <c r="P9" s="156">
        <f>Public_2!P9*'BTU Conversion Factor'!$F$4</f>
        <v>0</v>
      </c>
      <c r="Q9" s="156">
        <f>Public_2!Q9*'BTU Conversion Factor'!$F$4</f>
        <v>0</v>
      </c>
      <c r="R9" s="156">
        <f>Public_2!R9*'BTU Conversion Factor'!$F$4</f>
        <v>0</v>
      </c>
      <c r="S9" s="156">
        <f>Public_2!S9*'BTU Conversion Factor'!$F$4</f>
        <v>0</v>
      </c>
      <c r="T9" s="156">
        <f>Public_2!T9*'BTU Conversion Factor'!$F$4</f>
        <v>0</v>
      </c>
      <c r="U9" s="156">
        <f>Public_2!U9*'BTU Conversion Factor'!$F$4</f>
        <v>0</v>
      </c>
      <c r="V9" s="156">
        <f>Public_2!V9*'BTU Conversion Factor'!$F$4</f>
        <v>0</v>
      </c>
      <c r="W9" s="156">
        <f>Public_2!W9*'BTU Conversion Factor'!$F$4</f>
        <v>0</v>
      </c>
      <c r="X9" s="156">
        <f>Public_2!X9*'BTU Conversion Factor'!$F$4</f>
        <v>0</v>
      </c>
      <c r="Y9" s="156">
        <f>Public_2!Y9*'BTU Conversion Factor'!$F$4</f>
        <v>0</v>
      </c>
      <c r="Z9" s="156">
        <f>Public_2!Z9*'BTU Conversion Factor'!$F$4</f>
        <v>0</v>
      </c>
      <c r="AA9" s="156">
        <f>Public_2!AA9*'BTU Conversion Factor'!$F$4</f>
        <v>0</v>
      </c>
      <c r="AB9" s="156">
        <f>Public_2!AB9*'BTU Conversion Factor'!$F$4</f>
        <v>0</v>
      </c>
      <c r="AC9" s="156">
        <f>Public_2!AC9*'BTU Conversion Factor'!$F$4</f>
        <v>0</v>
      </c>
      <c r="AD9" s="156">
        <f>Public_2!AD9*'BTU Conversion Factor'!$F$4</f>
        <v>0</v>
      </c>
      <c r="AE9" s="156">
        <f>Public_2!AE9*'BTU Conversion Factor'!$F$4</f>
        <v>0</v>
      </c>
      <c r="AF9" s="156">
        <f>Public_2!AF9*'BTU Conversion Factor'!$F$4</f>
        <v>0</v>
      </c>
      <c r="AG9" s="156">
        <f>Public_2!AG9*'BTU Conversion Factor'!$F$4</f>
        <v>0</v>
      </c>
      <c r="AH9" s="156">
        <f>Public_2!AH9*'BTU Conversion Factor'!$F$4</f>
        <v>0</v>
      </c>
      <c r="AI9" s="156">
        <f>Public_2!AI9*'BTU Conversion Factor'!$F$4</f>
        <v>0</v>
      </c>
      <c r="AJ9" s="156">
        <f>Public_2!AJ9*'BTU Conversion Factor'!$F$4</f>
        <v>0</v>
      </c>
      <c r="AK9" s="156">
        <f>Public_2!AK9*'BTU Conversion Factor'!$F$4</f>
        <v>0</v>
      </c>
      <c r="AL9" s="156">
        <f>Public_2!AL9*'BTU Conversion Factor'!$F$4</f>
        <v>0</v>
      </c>
      <c r="AM9" s="156">
        <f>Public_2!AM9*'BTU Conversion Factor'!$F$4</f>
        <v>0</v>
      </c>
      <c r="AN9" s="156">
        <f>Public_2!AN9*'BTU Conversion Factor'!$F$4</f>
        <v>0</v>
      </c>
      <c r="AO9" s="156">
        <f>Public_2!AO9*'BTU Conversion Factor'!$F$4</f>
        <v>0</v>
      </c>
      <c r="AP9" s="156">
        <f>Public_2!AP9*'BTU Conversion Factor'!$F$4</f>
        <v>0</v>
      </c>
      <c r="AQ9" s="156">
        <f>Public_2!AQ9*'BTU Conversion Factor'!$F$4</f>
        <v>0</v>
      </c>
      <c r="AR9" s="156">
        <f>Public_2!AR9*'BTU Conversion Factor'!$F$4</f>
        <v>0</v>
      </c>
      <c r="AS9" s="156">
        <f>Public_2!AS9*'BTU Conversion Factor'!$F$4</f>
        <v>0</v>
      </c>
      <c r="AT9" s="156">
        <f>Public_2!AT9*'BTU Conversion Factor'!$F$4</f>
        <v>0</v>
      </c>
      <c r="AU9" s="156">
        <f>Public_2!AU9*'BTU Conversion Factor'!$F$4</f>
        <v>0</v>
      </c>
    </row>
    <row r="10" spans="1:47">
      <c r="B10" s="54" t="s">
        <v>963</v>
      </c>
      <c r="C10" s="156">
        <f>Public_2!C10*'BTU Conversion Factor'!$F$4</f>
        <v>0</v>
      </c>
      <c r="D10" s="156">
        <f>Public_2!D10*'BTU Conversion Factor'!$F$4</f>
        <v>0</v>
      </c>
      <c r="E10" s="156">
        <f>Public_2!E10*'BTU Conversion Factor'!$F$4</f>
        <v>0</v>
      </c>
      <c r="F10" s="156">
        <f>Public_2!F10*'BTU Conversion Factor'!$F$4</f>
        <v>0</v>
      </c>
      <c r="G10" s="156">
        <f>Public_2!G10*'BTU Conversion Factor'!$F$4</f>
        <v>0</v>
      </c>
      <c r="H10" s="156">
        <f>Public_2!H10*'BTU Conversion Factor'!$F$4</f>
        <v>0</v>
      </c>
      <c r="I10" s="156">
        <f>Public_2!I10*'BTU Conversion Factor'!$F$4</f>
        <v>0</v>
      </c>
      <c r="J10" s="156">
        <f>Public_2!J10*'BTU Conversion Factor'!$F$4</f>
        <v>0</v>
      </c>
      <c r="K10" s="156">
        <f>Public_2!K10*'BTU Conversion Factor'!$F$4</f>
        <v>0</v>
      </c>
      <c r="L10" s="156">
        <f>Public_2!L10*'BTU Conversion Factor'!$F$4</f>
        <v>0</v>
      </c>
      <c r="M10" s="156">
        <f>Public_2!M10*'BTU Conversion Factor'!$F$4</f>
        <v>0</v>
      </c>
      <c r="N10" s="156">
        <f>Public_2!N10*'BTU Conversion Factor'!$F$4</f>
        <v>0</v>
      </c>
      <c r="O10" s="156">
        <f>Public_2!O10*'BTU Conversion Factor'!$F$4</f>
        <v>0</v>
      </c>
      <c r="P10" s="156">
        <f>Public_2!P10*'BTU Conversion Factor'!$F$4</f>
        <v>0</v>
      </c>
      <c r="Q10" s="156">
        <f>Public_2!Q10*'BTU Conversion Factor'!$F$4</f>
        <v>0</v>
      </c>
      <c r="R10" s="156">
        <f>Public_2!R10*'BTU Conversion Factor'!$F$4</f>
        <v>0</v>
      </c>
      <c r="S10" s="156">
        <f>Public_2!S10*'BTU Conversion Factor'!$F$4</f>
        <v>0</v>
      </c>
      <c r="T10" s="156">
        <f>Public_2!T10*'BTU Conversion Factor'!$F$4</f>
        <v>0</v>
      </c>
      <c r="U10" s="156">
        <f>Public_2!U10*'BTU Conversion Factor'!$F$4</f>
        <v>0</v>
      </c>
      <c r="V10" s="156">
        <f>Public_2!V10*'BTU Conversion Factor'!$F$4</f>
        <v>0</v>
      </c>
      <c r="W10" s="156">
        <f>Public_2!W10*'BTU Conversion Factor'!$F$4</f>
        <v>0</v>
      </c>
      <c r="X10" s="156">
        <f>Public_2!X10*'BTU Conversion Factor'!$F$4</f>
        <v>0</v>
      </c>
      <c r="Y10" s="156">
        <f>Public_2!Y10*'BTU Conversion Factor'!$F$4</f>
        <v>0</v>
      </c>
      <c r="Z10" s="156">
        <f>Public_2!Z10*'BTU Conversion Factor'!$F$4</f>
        <v>0</v>
      </c>
      <c r="AA10" s="156">
        <f>Public_2!AA10*'BTU Conversion Factor'!$F$4</f>
        <v>0</v>
      </c>
      <c r="AB10" s="156">
        <f>Public_2!AB10*'BTU Conversion Factor'!$F$4</f>
        <v>0</v>
      </c>
      <c r="AC10" s="156">
        <f>Public_2!AC10*'BTU Conversion Factor'!$F$4</f>
        <v>0</v>
      </c>
      <c r="AD10" s="156">
        <f>Public_2!AD10*'BTU Conversion Factor'!$F$4</f>
        <v>0</v>
      </c>
      <c r="AE10" s="156">
        <f>Public_2!AE10*'BTU Conversion Factor'!$F$4</f>
        <v>0</v>
      </c>
      <c r="AF10" s="156">
        <f>Public_2!AF10*'BTU Conversion Factor'!$F$4</f>
        <v>0</v>
      </c>
      <c r="AG10" s="156">
        <f>Public_2!AG10*'BTU Conversion Factor'!$F$4</f>
        <v>0</v>
      </c>
      <c r="AH10" s="156">
        <f>Public_2!AH10*'BTU Conversion Factor'!$F$4</f>
        <v>0</v>
      </c>
      <c r="AI10" s="156">
        <f>Public_2!AI10*'BTU Conversion Factor'!$F$4</f>
        <v>0</v>
      </c>
      <c r="AJ10" s="156">
        <f>Public_2!AJ10*'BTU Conversion Factor'!$F$4</f>
        <v>0</v>
      </c>
      <c r="AK10" s="156">
        <f>Public_2!AK10*'BTU Conversion Factor'!$F$4</f>
        <v>0</v>
      </c>
      <c r="AL10" s="156">
        <f>Public_2!AL10*'BTU Conversion Factor'!$F$4</f>
        <v>0</v>
      </c>
      <c r="AM10" s="156">
        <f>Public_2!AM10*'BTU Conversion Factor'!$F$4</f>
        <v>0</v>
      </c>
      <c r="AN10" s="156">
        <f>Public_2!AN10*'BTU Conversion Factor'!$F$4</f>
        <v>0</v>
      </c>
      <c r="AO10" s="156">
        <f>Public_2!AO10*'BTU Conversion Factor'!$F$4</f>
        <v>0</v>
      </c>
      <c r="AP10" s="156">
        <f>Public_2!AP10*'BTU Conversion Factor'!$F$4</f>
        <v>0</v>
      </c>
      <c r="AQ10" s="156">
        <f>Public_2!AQ10*'BTU Conversion Factor'!$F$4</f>
        <v>0</v>
      </c>
      <c r="AR10" s="156">
        <f>Public_2!AR10*'BTU Conversion Factor'!$F$4</f>
        <v>0</v>
      </c>
      <c r="AS10" s="156">
        <f>Public_2!AS10*'BTU Conversion Factor'!$F$4</f>
        <v>0</v>
      </c>
      <c r="AT10" s="156">
        <f>Public_2!AT10*'BTU Conversion Factor'!$F$4</f>
        <v>0</v>
      </c>
      <c r="AU10" s="156">
        <f>Public_2!AU10*'BTU Conversion Factor'!$F$4</f>
        <v>0</v>
      </c>
    </row>
    <row r="12" spans="1:47" s="58" customFormat="1">
      <c r="A12" s="108" t="s">
        <v>937</v>
      </c>
    </row>
    <row r="13" spans="1:47" s="54" customFormat="1">
      <c r="B13" s="54" t="s">
        <v>481</v>
      </c>
      <c r="C13" s="54">
        <v>2006</v>
      </c>
      <c r="D13" s="54">
        <v>2007</v>
      </c>
      <c r="E13" s="54">
        <v>2008</v>
      </c>
      <c r="F13" s="54">
        <v>2009</v>
      </c>
      <c r="G13" s="54">
        <v>2010</v>
      </c>
      <c r="H13" s="54">
        <v>2011</v>
      </c>
      <c r="I13" s="54">
        <v>2012</v>
      </c>
      <c r="J13" s="54">
        <v>2013</v>
      </c>
      <c r="K13" s="54">
        <v>2014</v>
      </c>
      <c r="L13" s="54">
        <v>2015</v>
      </c>
      <c r="M13" s="54">
        <v>2016</v>
      </c>
      <c r="N13" s="54">
        <v>2017</v>
      </c>
      <c r="O13" s="54">
        <v>2018</v>
      </c>
      <c r="P13" s="54">
        <v>2019</v>
      </c>
      <c r="Q13" s="54">
        <v>2020</v>
      </c>
      <c r="R13" s="54">
        <v>2021</v>
      </c>
      <c r="S13" s="54">
        <v>2022</v>
      </c>
      <c r="T13" s="54">
        <v>2023</v>
      </c>
      <c r="U13" s="54">
        <v>2024</v>
      </c>
      <c r="V13" s="54">
        <v>2025</v>
      </c>
      <c r="W13" s="54">
        <v>2026</v>
      </c>
      <c r="X13" s="54">
        <v>2027</v>
      </c>
      <c r="Y13" s="54">
        <v>2028</v>
      </c>
      <c r="Z13" s="54">
        <v>2029</v>
      </c>
      <c r="AA13" s="54">
        <v>2030</v>
      </c>
      <c r="AB13" s="54">
        <v>2031</v>
      </c>
      <c r="AC13" s="54">
        <v>2032</v>
      </c>
      <c r="AD13" s="54">
        <v>2033</v>
      </c>
      <c r="AE13" s="54">
        <v>2034</v>
      </c>
      <c r="AF13" s="54">
        <v>2035</v>
      </c>
      <c r="AG13" s="54">
        <v>2036</v>
      </c>
      <c r="AH13" s="54">
        <v>2037</v>
      </c>
      <c r="AI13" s="54">
        <v>2038</v>
      </c>
      <c r="AJ13" s="54">
        <v>2039</v>
      </c>
      <c r="AK13" s="54">
        <v>2040</v>
      </c>
      <c r="AL13" s="54">
        <v>2041</v>
      </c>
      <c r="AM13" s="54">
        <v>2042</v>
      </c>
      <c r="AN13" s="54">
        <v>2043</v>
      </c>
      <c r="AO13" s="54">
        <v>2044</v>
      </c>
      <c r="AP13" s="54">
        <v>2045</v>
      </c>
      <c r="AQ13" s="54">
        <v>2046</v>
      </c>
      <c r="AR13" s="54">
        <v>2047</v>
      </c>
      <c r="AS13" s="54">
        <v>2048</v>
      </c>
      <c r="AT13" s="54">
        <v>2049</v>
      </c>
      <c r="AU13" s="54">
        <v>2050</v>
      </c>
    </row>
    <row r="14" spans="1:47">
      <c r="B14" s="54" t="s">
        <v>958</v>
      </c>
      <c r="C14" s="156">
        <f>Public_2!C14*'BTU Conversion Factor'!$F$4</f>
        <v>5152157688401.7139</v>
      </c>
      <c r="D14" s="156">
        <f>Public_2!D14*'BTU Conversion Factor'!$F$4</f>
        <v>5092314316226.9844</v>
      </c>
      <c r="E14" s="156">
        <f>Public_2!E14*'BTU Conversion Factor'!$F$4</f>
        <v>4908563689516.0146</v>
      </c>
      <c r="F14" s="156">
        <f>Public_2!F14*'BTU Conversion Factor'!$F$4</f>
        <v>5255955565106.4248</v>
      </c>
      <c r="G14" s="156">
        <f>Public_2!G14*'BTU Conversion Factor'!$F$4</f>
        <v>2914595808142.5742</v>
      </c>
      <c r="H14" s="156">
        <f>Public_2!H14*'BTU Conversion Factor'!$F$4</f>
        <v>3021472597546.0122</v>
      </c>
      <c r="I14" s="156">
        <f>Public_2!I14*'BTU Conversion Factor'!$F$4</f>
        <v>3130040564731.8716</v>
      </c>
      <c r="J14" s="156">
        <f>Public_2!J14*'BTU Conversion Factor'!$F$4</f>
        <v>2939403196582.3169</v>
      </c>
      <c r="K14" s="156">
        <f>Public_2!K14*'BTU Conversion Factor'!$F$4</f>
        <v>3574456436777.856</v>
      </c>
      <c r="L14" s="156">
        <f>Public_2!L14*'BTU Conversion Factor'!$F$4</f>
        <v>3653305537569.1113</v>
      </c>
      <c r="M14" s="156">
        <f>Public_2!M14*'BTU Conversion Factor'!$F$4</f>
        <v>3850465301338.604</v>
      </c>
      <c r="N14" s="156">
        <f>Public_2!N14*'BTU Conversion Factor'!$F$4</f>
        <v>3966211642821.2754</v>
      </c>
      <c r="O14" s="156">
        <f>Public_2!O14*'BTU Conversion Factor'!$F$4</f>
        <v>4008513147114.2798</v>
      </c>
      <c r="P14" s="156">
        <f>Public_2!P14*'BTU Conversion Factor'!$F$4</f>
        <v>3967614103007.1421</v>
      </c>
      <c r="Q14" s="156">
        <f>Public_2!Q14*'BTU Conversion Factor'!$F$4</f>
        <v>4466299015186.5049</v>
      </c>
      <c r="R14" s="156">
        <f>Public_2!R14*'BTU Conversion Factor'!$F$4</f>
        <v>4620414222468.2158</v>
      </c>
      <c r="S14" s="156">
        <f>Public_2!S14*'BTU Conversion Factor'!$F$4</f>
        <v>3328542007422.2344</v>
      </c>
      <c r="T14" s="156">
        <f>Public_2!T14*'BTU Conversion Factor'!$F$4</f>
        <v>3347918039296.9673</v>
      </c>
      <c r="U14" s="156">
        <f>Public_2!U14*'BTU Conversion Factor'!$F$4</f>
        <v>3362440285503.9292</v>
      </c>
      <c r="V14" s="156">
        <f>Public_2!V14*'BTU Conversion Factor'!$F$4</f>
        <v>3370224130970.9028</v>
      </c>
      <c r="W14" s="156">
        <f>Public_2!W14*'BTU Conversion Factor'!$F$4</f>
        <v>3377014661627.4849</v>
      </c>
      <c r="X14" s="156">
        <f>Public_2!X14*'BTU Conversion Factor'!$F$4</f>
        <v>3383084576797.8745</v>
      </c>
      <c r="Y14" s="156">
        <f>Public_2!Y14*'BTU Conversion Factor'!$F$4</f>
        <v>3387849887406.1357</v>
      </c>
      <c r="Z14" s="156">
        <f>Public_2!Z14*'BTU Conversion Factor'!$F$4</f>
        <v>3389801154034.2778</v>
      </c>
      <c r="AA14" s="156">
        <f>Public_2!AA14*'BTU Conversion Factor'!$F$4</f>
        <v>3388191812273.8188</v>
      </c>
      <c r="AB14" s="156">
        <f>Public_2!AB14*'BTU Conversion Factor'!$F$4</f>
        <v>3381898639536.4888</v>
      </c>
      <c r="AC14" s="156">
        <f>Public_2!AC14*'BTU Conversion Factor'!$F$4</f>
        <v>3371545006116.4321</v>
      </c>
      <c r="AD14" s="156">
        <f>Public_2!AD14*'BTU Conversion Factor'!$F$4</f>
        <v>3357348247985.1416</v>
      </c>
      <c r="AE14" s="156">
        <f>Public_2!AE14*'BTU Conversion Factor'!$F$4</f>
        <v>3339342801554.5933</v>
      </c>
      <c r="AF14" s="156">
        <f>Public_2!AF14*'BTU Conversion Factor'!$F$4</f>
        <v>3317926518086.313</v>
      </c>
      <c r="AG14" s="156">
        <f>Public_2!AG14*'BTU Conversion Factor'!$F$4</f>
        <v>3288996801971.2295</v>
      </c>
      <c r="AH14" s="156">
        <f>Public_2!AH14*'BTU Conversion Factor'!$F$4</f>
        <v>3256023655423.8057</v>
      </c>
      <c r="AI14" s="156">
        <f>Public_2!AI14*'BTU Conversion Factor'!$F$4</f>
        <v>3217386388471.9561</v>
      </c>
      <c r="AJ14" s="156">
        <f>Public_2!AJ14*'BTU Conversion Factor'!$F$4</f>
        <v>3172499306494.6021</v>
      </c>
      <c r="AK14" s="156">
        <f>Public_2!AK14*'BTU Conversion Factor'!$F$4</f>
        <v>3121320241539.6128</v>
      </c>
      <c r="AL14" s="156">
        <f>Public_2!AL14*'BTU Conversion Factor'!$F$4</f>
        <v>3063930801434.1509</v>
      </c>
      <c r="AM14" s="156">
        <f>Public_2!AM14*'BTU Conversion Factor'!$F$4</f>
        <v>3000487562713.8638</v>
      </c>
      <c r="AN14" s="156">
        <f>Public_2!AN14*'BTU Conversion Factor'!$F$4</f>
        <v>2931355383982.2607</v>
      </c>
      <c r="AO14" s="156">
        <f>Public_2!AO14*'BTU Conversion Factor'!$F$4</f>
        <v>2856204436619.4546</v>
      </c>
      <c r="AP14" s="156">
        <f>Public_2!AP14*'BTU Conversion Factor'!$F$4</f>
        <v>2775082599037.6694</v>
      </c>
      <c r="AQ14" s="156">
        <f>Public_2!AQ14*'BTU Conversion Factor'!$F$4</f>
        <v>2687710879940.749</v>
      </c>
      <c r="AR14" s="156">
        <f>Public_2!AR14*'BTU Conversion Factor'!$F$4</f>
        <v>2644431279804.4927</v>
      </c>
      <c r="AS14" s="156">
        <f>Public_2!AS14*'BTU Conversion Factor'!$F$4</f>
        <v>2555939179305.6724</v>
      </c>
      <c r="AT14" s="156">
        <f>Public_2!AT14*'BTU Conversion Factor'!$F$4</f>
        <v>2461345493017.0337</v>
      </c>
      <c r="AU14" s="156">
        <f>Public_2!AU14*'BTU Conversion Factor'!$F$4</f>
        <v>2360458757827.9155</v>
      </c>
    </row>
    <row r="15" spans="1:47">
      <c r="B15" s="54" t="s">
        <v>959</v>
      </c>
      <c r="C15" s="156">
        <f>Public_2!C15*'BTU Conversion Factor'!$F$4</f>
        <v>0</v>
      </c>
      <c r="D15" s="156">
        <f>Public_2!D15*'BTU Conversion Factor'!$F$4</f>
        <v>0</v>
      </c>
      <c r="E15" s="156">
        <f>Public_2!E15*'BTU Conversion Factor'!$F$4</f>
        <v>0</v>
      </c>
      <c r="F15" s="156">
        <f>Public_2!F15*'BTU Conversion Factor'!$F$4</f>
        <v>0</v>
      </c>
      <c r="G15" s="156">
        <f>Public_2!G15*'BTU Conversion Factor'!$F$4</f>
        <v>0</v>
      </c>
      <c r="H15" s="156">
        <f>Public_2!H15*'BTU Conversion Factor'!$F$4</f>
        <v>0</v>
      </c>
      <c r="I15" s="156">
        <f>Public_2!I15*'BTU Conversion Factor'!$F$4</f>
        <v>0</v>
      </c>
      <c r="J15" s="156">
        <f>Public_2!J15*'BTU Conversion Factor'!$F$4</f>
        <v>0</v>
      </c>
      <c r="K15" s="156">
        <f>Public_2!K15*'BTU Conversion Factor'!$F$4</f>
        <v>0</v>
      </c>
      <c r="L15" s="156">
        <f>Public_2!L15*'BTU Conversion Factor'!$F$4</f>
        <v>0</v>
      </c>
      <c r="M15" s="156">
        <f>Public_2!M15*'BTU Conversion Factor'!$F$4</f>
        <v>0</v>
      </c>
      <c r="N15" s="156">
        <f>Public_2!N15*'BTU Conversion Factor'!$F$4</f>
        <v>0</v>
      </c>
      <c r="O15" s="156">
        <f>Public_2!O15*'BTU Conversion Factor'!$F$4</f>
        <v>0</v>
      </c>
      <c r="P15" s="156">
        <f>Public_2!P15*'BTU Conversion Factor'!$F$4</f>
        <v>0</v>
      </c>
      <c r="Q15" s="156">
        <f>Public_2!Q15*'BTU Conversion Factor'!$F$4</f>
        <v>0</v>
      </c>
      <c r="R15" s="156">
        <f>Public_2!R15*'BTU Conversion Factor'!$F$4</f>
        <v>0</v>
      </c>
      <c r="S15" s="156">
        <f>Public_2!S15*'BTU Conversion Factor'!$F$4</f>
        <v>0</v>
      </c>
      <c r="T15" s="156">
        <f>Public_2!T15*'BTU Conversion Factor'!$F$4</f>
        <v>0</v>
      </c>
      <c r="U15" s="156">
        <f>Public_2!U15*'BTU Conversion Factor'!$F$4</f>
        <v>0</v>
      </c>
      <c r="V15" s="156">
        <f>Public_2!V15*'BTU Conversion Factor'!$F$4</f>
        <v>0</v>
      </c>
      <c r="W15" s="156">
        <f>Public_2!W15*'BTU Conversion Factor'!$F$4</f>
        <v>0</v>
      </c>
      <c r="X15" s="156">
        <f>Public_2!X15*'BTU Conversion Factor'!$F$4</f>
        <v>0</v>
      </c>
      <c r="Y15" s="156">
        <f>Public_2!Y15*'BTU Conversion Factor'!$F$4</f>
        <v>0</v>
      </c>
      <c r="Z15" s="156">
        <f>Public_2!Z15*'BTU Conversion Factor'!$F$4</f>
        <v>0</v>
      </c>
      <c r="AA15" s="156">
        <f>Public_2!AA15*'BTU Conversion Factor'!$F$4</f>
        <v>0</v>
      </c>
      <c r="AB15" s="156">
        <f>Public_2!AB15*'BTU Conversion Factor'!$F$4</f>
        <v>0</v>
      </c>
      <c r="AC15" s="156">
        <f>Public_2!AC15*'BTU Conversion Factor'!$F$4</f>
        <v>0</v>
      </c>
      <c r="AD15" s="156">
        <f>Public_2!AD15*'BTU Conversion Factor'!$F$4</f>
        <v>0</v>
      </c>
      <c r="AE15" s="156">
        <f>Public_2!AE15*'BTU Conversion Factor'!$F$4</f>
        <v>0</v>
      </c>
      <c r="AF15" s="156">
        <f>Public_2!AF15*'BTU Conversion Factor'!$F$4</f>
        <v>0</v>
      </c>
      <c r="AG15" s="156">
        <f>Public_2!AG15*'BTU Conversion Factor'!$F$4</f>
        <v>0</v>
      </c>
      <c r="AH15" s="156">
        <f>Public_2!AH15*'BTU Conversion Factor'!$F$4</f>
        <v>0</v>
      </c>
      <c r="AI15" s="156">
        <f>Public_2!AI15*'BTU Conversion Factor'!$F$4</f>
        <v>0</v>
      </c>
      <c r="AJ15" s="156">
        <f>Public_2!AJ15*'BTU Conversion Factor'!$F$4</f>
        <v>0</v>
      </c>
      <c r="AK15" s="156">
        <f>Public_2!AK15*'BTU Conversion Factor'!$F$4</f>
        <v>0</v>
      </c>
      <c r="AL15" s="156">
        <f>Public_2!AL15*'BTU Conversion Factor'!$F$4</f>
        <v>0</v>
      </c>
      <c r="AM15" s="156">
        <f>Public_2!AM15*'BTU Conversion Factor'!$F$4</f>
        <v>0</v>
      </c>
      <c r="AN15" s="156">
        <f>Public_2!AN15*'BTU Conversion Factor'!$F$4</f>
        <v>0</v>
      </c>
      <c r="AO15" s="156">
        <f>Public_2!AO15*'BTU Conversion Factor'!$F$4</f>
        <v>0</v>
      </c>
      <c r="AP15" s="156">
        <f>Public_2!AP15*'BTU Conversion Factor'!$F$4</f>
        <v>0</v>
      </c>
      <c r="AQ15" s="156">
        <f>Public_2!AQ15*'BTU Conversion Factor'!$F$4</f>
        <v>0</v>
      </c>
      <c r="AR15" s="156">
        <f>Public_2!AR15*'BTU Conversion Factor'!$F$4</f>
        <v>0</v>
      </c>
      <c r="AS15" s="156">
        <f>Public_2!AS15*'BTU Conversion Factor'!$F$4</f>
        <v>0</v>
      </c>
      <c r="AT15" s="156">
        <f>Public_2!AT15*'BTU Conversion Factor'!$F$4</f>
        <v>0</v>
      </c>
      <c r="AU15" s="156">
        <f>Public_2!AU15*'BTU Conversion Factor'!$F$4</f>
        <v>0</v>
      </c>
    </row>
    <row r="16" spans="1:47">
      <c r="B16" s="54" t="s">
        <v>960</v>
      </c>
      <c r="C16" s="156">
        <f>Public_2!C16*'BTU Conversion Factor'!$F$4</f>
        <v>0</v>
      </c>
      <c r="D16" s="156">
        <f>Public_2!D16*'BTU Conversion Factor'!$F$4</f>
        <v>0</v>
      </c>
      <c r="E16" s="156">
        <f>Public_2!E16*'BTU Conversion Factor'!$F$4</f>
        <v>0</v>
      </c>
      <c r="F16" s="156">
        <f>Public_2!F16*'BTU Conversion Factor'!$F$4</f>
        <v>0</v>
      </c>
      <c r="G16" s="156">
        <f>Public_2!G16*'BTU Conversion Factor'!$F$4</f>
        <v>0</v>
      </c>
      <c r="H16" s="156">
        <f>Public_2!H16*'BTU Conversion Factor'!$F$4</f>
        <v>0</v>
      </c>
      <c r="I16" s="156">
        <f>Public_2!I16*'BTU Conversion Factor'!$F$4</f>
        <v>0</v>
      </c>
      <c r="J16" s="156">
        <f>Public_2!J16*'BTU Conversion Factor'!$F$4</f>
        <v>0</v>
      </c>
      <c r="K16" s="156">
        <f>Public_2!K16*'BTU Conversion Factor'!$F$4</f>
        <v>0</v>
      </c>
      <c r="L16" s="156">
        <f>Public_2!L16*'BTU Conversion Factor'!$F$4</f>
        <v>0</v>
      </c>
      <c r="M16" s="156">
        <f>Public_2!M16*'BTU Conversion Factor'!$F$4</f>
        <v>0</v>
      </c>
      <c r="N16" s="156">
        <f>Public_2!N16*'BTU Conversion Factor'!$F$4</f>
        <v>6273286319.7171144</v>
      </c>
      <c r="O16" s="156">
        <f>Public_2!O16*'BTU Conversion Factor'!$F$4</f>
        <v>11961081102.194134</v>
      </c>
      <c r="P16" s="156">
        <f>Public_2!P16*'BTU Conversion Factor'!$F$4</f>
        <v>15546145574.596426</v>
      </c>
      <c r="Q16" s="156">
        <f>Public_2!Q16*'BTU Conversion Factor'!$F$4</f>
        <v>0</v>
      </c>
      <c r="R16" s="156">
        <f>Public_2!R16*'BTU Conversion Factor'!$F$4</f>
        <v>15419906254.463781</v>
      </c>
      <c r="S16" s="156">
        <f>Public_2!S16*'BTU Conversion Factor'!$F$4</f>
        <v>0</v>
      </c>
      <c r="T16" s="156">
        <f>Public_2!T16*'BTU Conversion Factor'!$F$4</f>
        <v>0</v>
      </c>
      <c r="U16" s="156">
        <f>Public_2!U16*'BTU Conversion Factor'!$F$4</f>
        <v>0</v>
      </c>
      <c r="V16" s="156">
        <f>Public_2!V16*'BTU Conversion Factor'!$F$4</f>
        <v>0</v>
      </c>
      <c r="W16" s="156">
        <f>Public_2!W16*'BTU Conversion Factor'!$F$4</f>
        <v>0</v>
      </c>
      <c r="X16" s="156">
        <f>Public_2!X16*'BTU Conversion Factor'!$F$4</f>
        <v>0</v>
      </c>
      <c r="Y16" s="156">
        <f>Public_2!Y16*'BTU Conversion Factor'!$F$4</f>
        <v>0</v>
      </c>
      <c r="Z16" s="156">
        <f>Public_2!Z16*'BTU Conversion Factor'!$F$4</f>
        <v>0</v>
      </c>
      <c r="AA16" s="156">
        <f>Public_2!AA16*'BTU Conversion Factor'!$F$4</f>
        <v>0</v>
      </c>
      <c r="AB16" s="156">
        <f>Public_2!AB16*'BTU Conversion Factor'!$F$4</f>
        <v>0</v>
      </c>
      <c r="AC16" s="156">
        <f>Public_2!AC16*'BTU Conversion Factor'!$F$4</f>
        <v>0</v>
      </c>
      <c r="AD16" s="156">
        <f>Public_2!AD16*'BTU Conversion Factor'!$F$4</f>
        <v>0</v>
      </c>
      <c r="AE16" s="156">
        <f>Public_2!AE16*'BTU Conversion Factor'!$F$4</f>
        <v>0</v>
      </c>
      <c r="AF16" s="156">
        <f>Public_2!AF16*'BTU Conversion Factor'!$F$4</f>
        <v>0</v>
      </c>
      <c r="AG16" s="156">
        <f>Public_2!AG16*'BTU Conversion Factor'!$F$4</f>
        <v>0</v>
      </c>
      <c r="AH16" s="156">
        <f>Public_2!AH16*'BTU Conversion Factor'!$F$4</f>
        <v>0</v>
      </c>
      <c r="AI16" s="156">
        <f>Public_2!AI16*'BTU Conversion Factor'!$F$4</f>
        <v>0</v>
      </c>
      <c r="AJ16" s="156">
        <f>Public_2!AJ16*'BTU Conversion Factor'!$F$4</f>
        <v>0</v>
      </c>
      <c r="AK16" s="156">
        <f>Public_2!AK16*'BTU Conversion Factor'!$F$4</f>
        <v>0</v>
      </c>
      <c r="AL16" s="156">
        <f>Public_2!AL16*'BTU Conversion Factor'!$F$4</f>
        <v>0</v>
      </c>
      <c r="AM16" s="156">
        <f>Public_2!AM16*'BTU Conversion Factor'!$F$4</f>
        <v>0</v>
      </c>
      <c r="AN16" s="156">
        <f>Public_2!AN16*'BTU Conversion Factor'!$F$4</f>
        <v>0</v>
      </c>
      <c r="AO16" s="156">
        <f>Public_2!AO16*'BTU Conversion Factor'!$F$4</f>
        <v>0</v>
      </c>
      <c r="AP16" s="156">
        <f>Public_2!AP16*'BTU Conversion Factor'!$F$4</f>
        <v>0</v>
      </c>
      <c r="AQ16" s="156">
        <f>Public_2!AQ16*'BTU Conversion Factor'!$F$4</f>
        <v>0</v>
      </c>
      <c r="AR16" s="156">
        <f>Public_2!AR16*'BTU Conversion Factor'!$F$4</f>
        <v>0</v>
      </c>
      <c r="AS16" s="156">
        <f>Public_2!AS16*'BTU Conversion Factor'!$F$4</f>
        <v>0</v>
      </c>
      <c r="AT16" s="156">
        <f>Public_2!AT16*'BTU Conversion Factor'!$F$4</f>
        <v>0</v>
      </c>
      <c r="AU16" s="156">
        <f>Public_2!AU16*'BTU Conversion Factor'!$F$4</f>
        <v>0</v>
      </c>
    </row>
    <row r="17" spans="1:47">
      <c r="B17" s="54" t="s">
        <v>961</v>
      </c>
      <c r="C17" s="156">
        <f>Public_2!C17*'BTU Conversion Factor'!$F$4</f>
        <v>0</v>
      </c>
      <c r="D17" s="156">
        <f>Public_2!D17*'BTU Conversion Factor'!$F$4</f>
        <v>0</v>
      </c>
      <c r="E17" s="156">
        <f>Public_2!E17*'BTU Conversion Factor'!$F$4</f>
        <v>0</v>
      </c>
      <c r="F17" s="156">
        <f>Public_2!F17*'BTU Conversion Factor'!$F$4</f>
        <v>0</v>
      </c>
      <c r="G17" s="156">
        <f>Public_2!G17*'BTU Conversion Factor'!$F$4</f>
        <v>0</v>
      </c>
      <c r="H17" s="156">
        <f>Public_2!H17*'BTU Conversion Factor'!$F$4</f>
        <v>0</v>
      </c>
      <c r="I17" s="156">
        <f>Public_2!I17*'BTU Conversion Factor'!$F$4</f>
        <v>0</v>
      </c>
      <c r="J17" s="156">
        <f>Public_2!J17*'BTU Conversion Factor'!$F$4</f>
        <v>0</v>
      </c>
      <c r="K17" s="156">
        <f>Public_2!K17*'BTU Conversion Factor'!$F$4</f>
        <v>0</v>
      </c>
      <c r="L17" s="156">
        <f>Public_2!L17*'BTU Conversion Factor'!$F$4</f>
        <v>0</v>
      </c>
      <c r="M17" s="156">
        <f>Public_2!M17*'BTU Conversion Factor'!$F$4</f>
        <v>0</v>
      </c>
      <c r="N17" s="156">
        <f>Public_2!N17*'BTU Conversion Factor'!$F$4</f>
        <v>0</v>
      </c>
      <c r="O17" s="156">
        <f>Public_2!O17*'BTU Conversion Factor'!$F$4</f>
        <v>0</v>
      </c>
      <c r="P17" s="156">
        <f>Public_2!P17*'BTU Conversion Factor'!$F$4</f>
        <v>0</v>
      </c>
      <c r="Q17" s="156">
        <f>Public_2!Q17*'BTU Conversion Factor'!$F$4</f>
        <v>0</v>
      </c>
      <c r="R17" s="156">
        <f>Public_2!R17*'BTU Conversion Factor'!$F$4</f>
        <v>0</v>
      </c>
      <c r="S17" s="156">
        <f>Public_2!S17*'BTU Conversion Factor'!$F$4</f>
        <v>0</v>
      </c>
      <c r="T17" s="156">
        <f>Public_2!T17*'BTU Conversion Factor'!$F$4</f>
        <v>0</v>
      </c>
      <c r="U17" s="156">
        <f>Public_2!U17*'BTU Conversion Factor'!$F$4</f>
        <v>0</v>
      </c>
      <c r="V17" s="156">
        <f>Public_2!V17*'BTU Conversion Factor'!$F$4</f>
        <v>0</v>
      </c>
      <c r="W17" s="156">
        <f>Public_2!W17*'BTU Conversion Factor'!$F$4</f>
        <v>0</v>
      </c>
      <c r="X17" s="156">
        <f>Public_2!X17*'BTU Conversion Factor'!$F$4</f>
        <v>0</v>
      </c>
      <c r="Y17" s="156">
        <f>Public_2!Y17*'BTU Conversion Factor'!$F$4</f>
        <v>0</v>
      </c>
      <c r="Z17" s="156">
        <f>Public_2!Z17*'BTU Conversion Factor'!$F$4</f>
        <v>0</v>
      </c>
      <c r="AA17" s="156">
        <f>Public_2!AA17*'BTU Conversion Factor'!$F$4</f>
        <v>0</v>
      </c>
      <c r="AB17" s="156">
        <f>Public_2!AB17*'BTU Conversion Factor'!$F$4</f>
        <v>0</v>
      </c>
      <c r="AC17" s="156">
        <f>Public_2!AC17*'BTU Conversion Factor'!$F$4</f>
        <v>0</v>
      </c>
      <c r="AD17" s="156">
        <f>Public_2!AD17*'BTU Conversion Factor'!$F$4</f>
        <v>0</v>
      </c>
      <c r="AE17" s="156">
        <f>Public_2!AE17*'BTU Conversion Factor'!$F$4</f>
        <v>0</v>
      </c>
      <c r="AF17" s="156">
        <f>Public_2!AF17*'BTU Conversion Factor'!$F$4</f>
        <v>0</v>
      </c>
      <c r="AG17" s="156">
        <f>Public_2!AG17*'BTU Conversion Factor'!$F$4</f>
        <v>0</v>
      </c>
      <c r="AH17" s="156">
        <f>Public_2!AH17*'BTU Conversion Factor'!$F$4</f>
        <v>0</v>
      </c>
      <c r="AI17" s="156">
        <f>Public_2!AI17*'BTU Conversion Factor'!$F$4</f>
        <v>0</v>
      </c>
      <c r="AJ17" s="156">
        <f>Public_2!AJ17*'BTU Conversion Factor'!$F$4</f>
        <v>0</v>
      </c>
      <c r="AK17" s="156">
        <f>Public_2!AK17*'BTU Conversion Factor'!$F$4</f>
        <v>0</v>
      </c>
      <c r="AL17" s="156">
        <f>Public_2!AL17*'BTU Conversion Factor'!$F$4</f>
        <v>0</v>
      </c>
      <c r="AM17" s="156">
        <f>Public_2!AM17*'BTU Conversion Factor'!$F$4</f>
        <v>0</v>
      </c>
      <c r="AN17" s="156">
        <f>Public_2!AN17*'BTU Conversion Factor'!$F$4</f>
        <v>0</v>
      </c>
      <c r="AO17" s="156">
        <f>Public_2!AO17*'BTU Conversion Factor'!$F$4</f>
        <v>0</v>
      </c>
      <c r="AP17" s="156">
        <f>Public_2!AP17*'BTU Conversion Factor'!$F$4</f>
        <v>0</v>
      </c>
      <c r="AQ17" s="156">
        <f>Public_2!AQ17*'BTU Conversion Factor'!$F$4</f>
        <v>0</v>
      </c>
      <c r="AR17" s="156">
        <f>Public_2!AR17*'BTU Conversion Factor'!$F$4</f>
        <v>0</v>
      </c>
      <c r="AS17" s="156">
        <f>Public_2!AS17*'BTU Conversion Factor'!$F$4</f>
        <v>0</v>
      </c>
      <c r="AT17" s="156">
        <f>Public_2!AT17*'BTU Conversion Factor'!$F$4</f>
        <v>0</v>
      </c>
      <c r="AU17" s="156">
        <f>Public_2!AU17*'BTU Conversion Factor'!$F$4</f>
        <v>0</v>
      </c>
    </row>
    <row r="18" spans="1:47">
      <c r="B18" s="54" t="s">
        <v>962</v>
      </c>
      <c r="C18" s="156">
        <f>Public_2!C18*'BTU Conversion Factor'!$F$4</f>
        <v>0</v>
      </c>
      <c r="D18" s="156">
        <f>Public_2!D18*'BTU Conversion Factor'!$F$4</f>
        <v>0</v>
      </c>
      <c r="E18" s="156">
        <f>Public_2!E18*'BTU Conversion Factor'!$F$4</f>
        <v>0</v>
      </c>
      <c r="F18" s="156">
        <f>Public_2!F18*'BTU Conversion Factor'!$F$4</f>
        <v>0</v>
      </c>
      <c r="G18" s="156">
        <f>Public_2!G18*'BTU Conversion Factor'!$F$4</f>
        <v>0</v>
      </c>
      <c r="H18" s="156">
        <f>Public_2!H18*'BTU Conversion Factor'!$F$4</f>
        <v>0</v>
      </c>
      <c r="I18" s="156">
        <f>Public_2!I18*'BTU Conversion Factor'!$F$4</f>
        <v>0</v>
      </c>
      <c r="J18" s="156">
        <f>Public_2!J18*'BTU Conversion Factor'!$F$4</f>
        <v>0</v>
      </c>
      <c r="K18" s="156">
        <f>Public_2!K18*'BTU Conversion Factor'!$F$4</f>
        <v>0</v>
      </c>
      <c r="L18" s="156">
        <f>Public_2!L18*'BTU Conversion Factor'!$F$4</f>
        <v>0</v>
      </c>
      <c r="M18" s="156">
        <f>Public_2!M18*'BTU Conversion Factor'!$F$4</f>
        <v>0</v>
      </c>
      <c r="N18" s="156">
        <f>Public_2!N18*'BTU Conversion Factor'!$F$4</f>
        <v>0</v>
      </c>
      <c r="O18" s="156">
        <f>Public_2!O18*'BTU Conversion Factor'!$F$4</f>
        <v>0</v>
      </c>
      <c r="P18" s="156">
        <f>Public_2!P18*'BTU Conversion Factor'!$F$4</f>
        <v>0</v>
      </c>
      <c r="Q18" s="156">
        <f>Public_2!Q18*'BTU Conversion Factor'!$F$4</f>
        <v>0</v>
      </c>
      <c r="R18" s="156">
        <f>Public_2!R18*'BTU Conversion Factor'!$F$4</f>
        <v>0</v>
      </c>
      <c r="S18" s="156">
        <f>Public_2!S18*'BTU Conversion Factor'!$F$4</f>
        <v>0</v>
      </c>
      <c r="T18" s="156">
        <f>Public_2!T18*'BTU Conversion Factor'!$F$4</f>
        <v>0</v>
      </c>
      <c r="U18" s="156">
        <f>Public_2!U18*'BTU Conversion Factor'!$F$4</f>
        <v>0</v>
      </c>
      <c r="V18" s="156">
        <f>Public_2!V18*'BTU Conversion Factor'!$F$4</f>
        <v>0</v>
      </c>
      <c r="W18" s="156">
        <f>Public_2!W18*'BTU Conversion Factor'!$F$4</f>
        <v>0</v>
      </c>
      <c r="X18" s="156">
        <f>Public_2!X18*'BTU Conversion Factor'!$F$4</f>
        <v>0</v>
      </c>
      <c r="Y18" s="156">
        <f>Public_2!Y18*'BTU Conversion Factor'!$F$4</f>
        <v>0</v>
      </c>
      <c r="Z18" s="156">
        <f>Public_2!Z18*'BTU Conversion Factor'!$F$4</f>
        <v>0</v>
      </c>
      <c r="AA18" s="156">
        <f>Public_2!AA18*'BTU Conversion Factor'!$F$4</f>
        <v>0</v>
      </c>
      <c r="AB18" s="156">
        <f>Public_2!AB18*'BTU Conversion Factor'!$F$4</f>
        <v>0</v>
      </c>
      <c r="AC18" s="156">
        <f>Public_2!AC18*'BTU Conversion Factor'!$F$4</f>
        <v>0</v>
      </c>
      <c r="AD18" s="156">
        <f>Public_2!AD18*'BTU Conversion Factor'!$F$4</f>
        <v>0</v>
      </c>
      <c r="AE18" s="156">
        <f>Public_2!AE18*'BTU Conversion Factor'!$F$4</f>
        <v>0</v>
      </c>
      <c r="AF18" s="156">
        <f>Public_2!AF18*'BTU Conversion Factor'!$F$4</f>
        <v>0</v>
      </c>
      <c r="AG18" s="156">
        <f>Public_2!AG18*'BTU Conversion Factor'!$F$4</f>
        <v>0</v>
      </c>
      <c r="AH18" s="156">
        <f>Public_2!AH18*'BTU Conversion Factor'!$F$4</f>
        <v>0</v>
      </c>
      <c r="AI18" s="156">
        <f>Public_2!AI18*'BTU Conversion Factor'!$F$4</f>
        <v>0</v>
      </c>
      <c r="AJ18" s="156">
        <f>Public_2!AJ18*'BTU Conversion Factor'!$F$4</f>
        <v>0</v>
      </c>
      <c r="AK18" s="156">
        <f>Public_2!AK18*'BTU Conversion Factor'!$F$4</f>
        <v>0</v>
      </c>
      <c r="AL18" s="156">
        <f>Public_2!AL18*'BTU Conversion Factor'!$F$4</f>
        <v>0</v>
      </c>
      <c r="AM18" s="156">
        <f>Public_2!AM18*'BTU Conversion Factor'!$F$4</f>
        <v>0</v>
      </c>
      <c r="AN18" s="156">
        <f>Public_2!AN18*'BTU Conversion Factor'!$F$4</f>
        <v>0</v>
      </c>
      <c r="AO18" s="156">
        <f>Public_2!AO18*'BTU Conversion Factor'!$F$4</f>
        <v>0</v>
      </c>
      <c r="AP18" s="156">
        <f>Public_2!AP18*'BTU Conversion Factor'!$F$4</f>
        <v>0</v>
      </c>
      <c r="AQ18" s="156">
        <f>Public_2!AQ18*'BTU Conversion Factor'!$F$4</f>
        <v>0</v>
      </c>
      <c r="AR18" s="156">
        <f>Public_2!AR18*'BTU Conversion Factor'!$F$4</f>
        <v>0</v>
      </c>
      <c r="AS18" s="156">
        <f>Public_2!AS18*'BTU Conversion Factor'!$F$4</f>
        <v>0</v>
      </c>
      <c r="AT18" s="156">
        <f>Public_2!AT18*'BTU Conversion Factor'!$F$4</f>
        <v>0</v>
      </c>
      <c r="AU18" s="156">
        <f>Public_2!AU18*'BTU Conversion Factor'!$F$4</f>
        <v>0</v>
      </c>
    </row>
    <row r="19" spans="1:47">
      <c r="B19" s="54" t="s">
        <v>963</v>
      </c>
      <c r="C19" s="156">
        <f>Public_2!C19*'BTU Conversion Factor'!$F$4</f>
        <v>0</v>
      </c>
      <c r="D19" s="156">
        <f>Public_2!D19*'BTU Conversion Factor'!$F$4</f>
        <v>0</v>
      </c>
      <c r="E19" s="156">
        <f>Public_2!E19*'BTU Conversion Factor'!$F$4</f>
        <v>0</v>
      </c>
      <c r="F19" s="156">
        <f>Public_2!F19*'BTU Conversion Factor'!$F$4</f>
        <v>0</v>
      </c>
      <c r="G19" s="156">
        <f>Public_2!G19*'BTU Conversion Factor'!$F$4</f>
        <v>0</v>
      </c>
      <c r="H19" s="156">
        <f>Public_2!H19*'BTU Conversion Factor'!$F$4</f>
        <v>0</v>
      </c>
      <c r="I19" s="156">
        <f>Public_2!I19*'BTU Conversion Factor'!$F$4</f>
        <v>0</v>
      </c>
      <c r="J19" s="156">
        <f>Public_2!J19*'BTU Conversion Factor'!$F$4</f>
        <v>0</v>
      </c>
      <c r="K19" s="156">
        <f>Public_2!K19*'BTU Conversion Factor'!$F$4</f>
        <v>0</v>
      </c>
      <c r="L19" s="156">
        <f>Public_2!L19*'BTU Conversion Factor'!$F$4</f>
        <v>0</v>
      </c>
      <c r="M19" s="156">
        <f>Public_2!M19*'BTU Conversion Factor'!$F$4</f>
        <v>0</v>
      </c>
      <c r="N19" s="156">
        <f>Public_2!N19*'BTU Conversion Factor'!$F$4</f>
        <v>0</v>
      </c>
      <c r="O19" s="156">
        <f>Public_2!O19*'BTU Conversion Factor'!$F$4</f>
        <v>0</v>
      </c>
      <c r="P19" s="156">
        <f>Public_2!P19*'BTU Conversion Factor'!$F$4</f>
        <v>0</v>
      </c>
      <c r="Q19" s="156">
        <f>Public_2!Q19*'BTU Conversion Factor'!$F$4</f>
        <v>0</v>
      </c>
      <c r="R19" s="156">
        <f>Public_2!R19*'BTU Conversion Factor'!$F$4</f>
        <v>0</v>
      </c>
      <c r="S19" s="156">
        <f>Public_2!S19*'BTU Conversion Factor'!$F$4</f>
        <v>0</v>
      </c>
      <c r="T19" s="156">
        <f>Public_2!T19*'BTU Conversion Factor'!$F$4</f>
        <v>0</v>
      </c>
      <c r="U19" s="156">
        <f>Public_2!U19*'BTU Conversion Factor'!$F$4</f>
        <v>0</v>
      </c>
      <c r="V19" s="156">
        <f>Public_2!V19*'BTU Conversion Factor'!$F$4</f>
        <v>0</v>
      </c>
      <c r="W19" s="156">
        <f>Public_2!W19*'BTU Conversion Factor'!$F$4</f>
        <v>0</v>
      </c>
      <c r="X19" s="156">
        <f>Public_2!X19*'BTU Conversion Factor'!$F$4</f>
        <v>0</v>
      </c>
      <c r="Y19" s="156">
        <f>Public_2!Y19*'BTU Conversion Factor'!$F$4</f>
        <v>0</v>
      </c>
      <c r="Z19" s="156">
        <f>Public_2!Z19*'BTU Conversion Factor'!$F$4</f>
        <v>0</v>
      </c>
      <c r="AA19" s="156">
        <f>Public_2!AA19*'BTU Conversion Factor'!$F$4</f>
        <v>0</v>
      </c>
      <c r="AB19" s="156">
        <f>Public_2!AB19*'BTU Conversion Factor'!$F$4</f>
        <v>0</v>
      </c>
      <c r="AC19" s="156">
        <f>Public_2!AC19*'BTU Conversion Factor'!$F$4</f>
        <v>0</v>
      </c>
      <c r="AD19" s="156">
        <f>Public_2!AD19*'BTU Conversion Factor'!$F$4</f>
        <v>0</v>
      </c>
      <c r="AE19" s="156">
        <f>Public_2!AE19*'BTU Conversion Factor'!$F$4</f>
        <v>0</v>
      </c>
      <c r="AF19" s="156">
        <f>Public_2!AF19*'BTU Conversion Factor'!$F$4</f>
        <v>0</v>
      </c>
      <c r="AG19" s="156">
        <f>Public_2!AG19*'BTU Conversion Factor'!$F$4</f>
        <v>0</v>
      </c>
      <c r="AH19" s="156">
        <f>Public_2!AH19*'BTU Conversion Factor'!$F$4</f>
        <v>0</v>
      </c>
      <c r="AI19" s="156">
        <f>Public_2!AI19*'BTU Conversion Factor'!$F$4</f>
        <v>0</v>
      </c>
      <c r="AJ19" s="156">
        <f>Public_2!AJ19*'BTU Conversion Factor'!$F$4</f>
        <v>0</v>
      </c>
      <c r="AK19" s="156">
        <f>Public_2!AK19*'BTU Conversion Factor'!$F$4</f>
        <v>0</v>
      </c>
      <c r="AL19" s="156">
        <f>Public_2!AL19*'BTU Conversion Factor'!$F$4</f>
        <v>0</v>
      </c>
      <c r="AM19" s="156">
        <f>Public_2!AM19*'BTU Conversion Factor'!$F$4</f>
        <v>0</v>
      </c>
      <c r="AN19" s="156">
        <f>Public_2!AN19*'BTU Conversion Factor'!$F$4</f>
        <v>0</v>
      </c>
      <c r="AO19" s="156">
        <f>Public_2!AO19*'BTU Conversion Factor'!$F$4</f>
        <v>0</v>
      </c>
      <c r="AP19" s="156">
        <f>Public_2!AP19*'BTU Conversion Factor'!$F$4</f>
        <v>0</v>
      </c>
      <c r="AQ19" s="156">
        <f>Public_2!AQ19*'BTU Conversion Factor'!$F$4</f>
        <v>0</v>
      </c>
      <c r="AR19" s="156">
        <f>Public_2!AR19*'BTU Conversion Factor'!$F$4</f>
        <v>0</v>
      </c>
      <c r="AS19" s="156">
        <f>Public_2!AS19*'BTU Conversion Factor'!$F$4</f>
        <v>0</v>
      </c>
      <c r="AT19" s="156">
        <f>Public_2!AT19*'BTU Conversion Factor'!$F$4</f>
        <v>0</v>
      </c>
      <c r="AU19" s="156">
        <f>Public_2!AU19*'BTU Conversion Factor'!$F$4</f>
        <v>0</v>
      </c>
    </row>
    <row r="21" spans="1:47" s="58" customFormat="1">
      <c r="A21" s="108" t="s">
        <v>938</v>
      </c>
    </row>
    <row r="22" spans="1:47" s="54" customFormat="1">
      <c r="B22" s="54" t="s">
        <v>557</v>
      </c>
      <c r="C22" s="54">
        <v>2006</v>
      </c>
      <c r="D22" s="54">
        <v>2007</v>
      </c>
      <c r="E22" s="54">
        <v>2008</v>
      </c>
      <c r="F22" s="54">
        <v>2009</v>
      </c>
      <c r="G22" s="54">
        <v>2010</v>
      </c>
      <c r="H22" s="54">
        <v>2011</v>
      </c>
      <c r="I22" s="54">
        <v>2012</v>
      </c>
      <c r="J22" s="54">
        <v>2013</v>
      </c>
      <c r="K22" s="54">
        <v>2014</v>
      </c>
      <c r="L22" s="54">
        <v>2015</v>
      </c>
      <c r="M22" s="54">
        <v>2016</v>
      </c>
      <c r="N22" s="54">
        <v>2017</v>
      </c>
      <c r="O22" s="54">
        <v>2018</v>
      </c>
      <c r="P22" s="54">
        <v>2019</v>
      </c>
      <c r="Q22" s="54">
        <v>2020</v>
      </c>
      <c r="R22" s="54">
        <v>2021</v>
      </c>
      <c r="S22" s="54">
        <v>2022</v>
      </c>
      <c r="T22" s="54">
        <v>2023</v>
      </c>
      <c r="U22" s="54">
        <v>2024</v>
      </c>
      <c r="V22" s="54">
        <v>2025</v>
      </c>
      <c r="W22" s="54">
        <v>2026</v>
      </c>
      <c r="X22" s="54">
        <v>2027</v>
      </c>
      <c r="Y22" s="54">
        <v>2028</v>
      </c>
      <c r="Z22" s="54">
        <v>2029</v>
      </c>
      <c r="AA22" s="54">
        <v>2030</v>
      </c>
      <c r="AB22" s="54">
        <v>2031</v>
      </c>
      <c r="AC22" s="54">
        <v>2032</v>
      </c>
      <c r="AD22" s="54">
        <v>2033</v>
      </c>
      <c r="AE22" s="54">
        <v>2034</v>
      </c>
      <c r="AF22" s="54">
        <v>2035</v>
      </c>
      <c r="AG22" s="54">
        <v>2036</v>
      </c>
      <c r="AH22" s="54">
        <v>2037</v>
      </c>
      <c r="AI22" s="54">
        <v>2038</v>
      </c>
      <c r="AJ22" s="54">
        <v>2039</v>
      </c>
      <c r="AK22" s="54">
        <v>2040</v>
      </c>
      <c r="AL22" s="54">
        <v>2041</v>
      </c>
      <c r="AM22" s="54">
        <v>2042</v>
      </c>
      <c r="AN22" s="54">
        <v>2043</v>
      </c>
      <c r="AO22" s="54">
        <v>2044</v>
      </c>
      <c r="AP22" s="54">
        <v>2045</v>
      </c>
      <c r="AQ22" s="54">
        <v>2046</v>
      </c>
      <c r="AR22" s="54">
        <v>2047</v>
      </c>
      <c r="AS22" s="54">
        <v>2048</v>
      </c>
      <c r="AT22" s="54">
        <v>2049</v>
      </c>
      <c r="AU22" s="54">
        <v>2050</v>
      </c>
    </row>
    <row r="23" spans="1:47">
      <c r="B23" s="54" t="s">
        <v>958</v>
      </c>
      <c r="C23">
        <f>Public_2!C23*'BTU Conversion Factor'!$F$4</f>
        <v>0</v>
      </c>
      <c r="D23">
        <f>Public_2!D23*'BTU Conversion Factor'!$F$4</f>
        <v>0</v>
      </c>
      <c r="E23">
        <f>Public_2!E23*'BTU Conversion Factor'!$F$4</f>
        <v>0</v>
      </c>
      <c r="F23">
        <f>Public_2!F23*'BTU Conversion Factor'!$F$4</f>
        <v>0</v>
      </c>
      <c r="G23">
        <f>Public_2!G23*'BTU Conversion Factor'!$F$4</f>
        <v>0</v>
      </c>
      <c r="H23">
        <f>Public_2!H23*'BTU Conversion Factor'!$F$4</f>
        <v>0</v>
      </c>
      <c r="I23">
        <f>Public_2!I23*'BTU Conversion Factor'!$F$4</f>
        <v>0</v>
      </c>
      <c r="J23">
        <f>Public_2!J23*'BTU Conversion Factor'!$F$4</f>
        <v>0</v>
      </c>
      <c r="K23">
        <f>Public_2!K23*'BTU Conversion Factor'!$F$4</f>
        <v>0</v>
      </c>
      <c r="L23">
        <f>Public_2!L23*'BTU Conversion Factor'!$F$4</f>
        <v>0</v>
      </c>
      <c r="M23">
        <f>Public_2!M23*'BTU Conversion Factor'!$F$4</f>
        <v>0</v>
      </c>
      <c r="N23">
        <f>Public_2!N23*'BTU Conversion Factor'!$F$4</f>
        <v>0</v>
      </c>
      <c r="O23">
        <f>Public_2!O23*'BTU Conversion Factor'!$F$4</f>
        <v>0</v>
      </c>
      <c r="P23">
        <f>Public_2!P23*'BTU Conversion Factor'!$F$4</f>
        <v>0</v>
      </c>
      <c r="Q23">
        <f>Public_2!Q23*'BTU Conversion Factor'!$F$4</f>
        <v>0</v>
      </c>
      <c r="R23">
        <f>Public_2!R23*'BTU Conversion Factor'!$F$4</f>
        <v>0</v>
      </c>
      <c r="S23">
        <f>Public_2!S23*'BTU Conversion Factor'!$F$4</f>
        <v>0</v>
      </c>
      <c r="T23">
        <f>Public_2!T23*'BTU Conversion Factor'!$F$4</f>
        <v>0</v>
      </c>
      <c r="U23">
        <f>Public_2!U23*'BTU Conversion Factor'!$F$4</f>
        <v>0</v>
      </c>
      <c r="V23">
        <f>Public_2!V23*'BTU Conversion Factor'!$F$4</f>
        <v>0</v>
      </c>
      <c r="W23">
        <f>Public_2!W23*'BTU Conversion Factor'!$F$4</f>
        <v>0</v>
      </c>
      <c r="X23">
        <f>Public_2!X23*'BTU Conversion Factor'!$F$4</f>
        <v>0</v>
      </c>
      <c r="Y23">
        <f>Public_2!Y23*'BTU Conversion Factor'!$F$4</f>
        <v>0</v>
      </c>
      <c r="Z23">
        <f>Public_2!Z23*'BTU Conversion Factor'!$F$4</f>
        <v>0</v>
      </c>
      <c r="AA23">
        <f>Public_2!AA23*'BTU Conversion Factor'!$F$4</f>
        <v>0</v>
      </c>
      <c r="AB23">
        <f>Public_2!AB23*'BTU Conversion Factor'!$F$4</f>
        <v>0</v>
      </c>
      <c r="AC23">
        <f>Public_2!AC23*'BTU Conversion Factor'!$F$4</f>
        <v>0</v>
      </c>
      <c r="AD23">
        <f>Public_2!AD23*'BTU Conversion Factor'!$F$4</f>
        <v>0</v>
      </c>
      <c r="AE23">
        <f>Public_2!AE23*'BTU Conversion Factor'!$F$4</f>
        <v>0</v>
      </c>
      <c r="AF23">
        <f>Public_2!AF23*'BTU Conversion Factor'!$F$4</f>
        <v>0</v>
      </c>
      <c r="AG23">
        <f>Public_2!AG23*'BTU Conversion Factor'!$F$4</f>
        <v>0</v>
      </c>
      <c r="AH23">
        <f>Public_2!AH23*'BTU Conversion Factor'!$F$4</f>
        <v>0</v>
      </c>
      <c r="AI23">
        <f>Public_2!AI23*'BTU Conversion Factor'!$F$4</f>
        <v>0</v>
      </c>
      <c r="AJ23">
        <f>Public_2!AJ23*'BTU Conversion Factor'!$F$4</f>
        <v>0</v>
      </c>
      <c r="AK23">
        <f>Public_2!AK23*'BTU Conversion Factor'!$F$4</f>
        <v>0</v>
      </c>
      <c r="AL23">
        <f>Public_2!AL23*'BTU Conversion Factor'!$F$4</f>
        <v>0</v>
      </c>
      <c r="AM23">
        <f>Public_2!AM23*'BTU Conversion Factor'!$F$4</f>
        <v>0</v>
      </c>
      <c r="AN23">
        <f>Public_2!AN23*'BTU Conversion Factor'!$F$4</f>
        <v>0</v>
      </c>
      <c r="AO23">
        <f>Public_2!AO23*'BTU Conversion Factor'!$F$4</f>
        <v>0</v>
      </c>
      <c r="AP23">
        <f>Public_2!AP23*'BTU Conversion Factor'!$F$4</f>
        <v>0</v>
      </c>
      <c r="AQ23">
        <f>Public_2!AQ23*'BTU Conversion Factor'!$F$4</f>
        <v>0</v>
      </c>
      <c r="AR23">
        <f>Public_2!AR23*'BTU Conversion Factor'!$F$4</f>
        <v>0</v>
      </c>
      <c r="AS23">
        <f>Public_2!AS23*'BTU Conversion Factor'!$F$4</f>
        <v>0</v>
      </c>
      <c r="AT23">
        <f>Public_2!AT23*'BTU Conversion Factor'!$F$4</f>
        <v>0</v>
      </c>
      <c r="AU23">
        <f>Public_2!AU23*'BTU Conversion Factor'!$F$4</f>
        <v>0</v>
      </c>
    </row>
    <row r="24" spans="1:47">
      <c r="B24" s="54" t="s">
        <v>959</v>
      </c>
      <c r="C24">
        <f>Public_2!C24*'BTU Conversion Factor'!$F$4</f>
        <v>0</v>
      </c>
      <c r="D24">
        <f>Public_2!D24*'BTU Conversion Factor'!$F$4</f>
        <v>0</v>
      </c>
      <c r="E24">
        <f>Public_2!E24*'BTU Conversion Factor'!$F$4</f>
        <v>0</v>
      </c>
      <c r="F24">
        <f>Public_2!F24*'BTU Conversion Factor'!$F$4</f>
        <v>0</v>
      </c>
      <c r="G24">
        <f>Public_2!G24*'BTU Conversion Factor'!$F$4</f>
        <v>0</v>
      </c>
      <c r="H24">
        <f>Public_2!H24*'BTU Conversion Factor'!$F$4</f>
        <v>0</v>
      </c>
      <c r="I24">
        <f>Public_2!I24*'BTU Conversion Factor'!$F$4</f>
        <v>0</v>
      </c>
      <c r="J24">
        <f>Public_2!J24*'BTU Conversion Factor'!$F$4</f>
        <v>0</v>
      </c>
      <c r="K24">
        <f>Public_2!K24*'BTU Conversion Factor'!$F$4</f>
        <v>0</v>
      </c>
      <c r="L24">
        <f>Public_2!L24*'BTU Conversion Factor'!$F$4</f>
        <v>0</v>
      </c>
      <c r="M24">
        <f>Public_2!M24*'BTU Conversion Factor'!$F$4</f>
        <v>0</v>
      </c>
      <c r="N24">
        <f>Public_2!N24*'BTU Conversion Factor'!$F$4</f>
        <v>0</v>
      </c>
      <c r="O24">
        <f>Public_2!O24*'BTU Conversion Factor'!$F$4</f>
        <v>0</v>
      </c>
      <c r="P24">
        <f>Public_2!P24*'BTU Conversion Factor'!$F$4</f>
        <v>0</v>
      </c>
      <c r="Q24">
        <f>Public_2!Q24*'BTU Conversion Factor'!$F$4</f>
        <v>0</v>
      </c>
      <c r="R24">
        <f>Public_2!R24*'BTU Conversion Factor'!$F$4</f>
        <v>0</v>
      </c>
      <c r="S24">
        <f>Public_2!S24*'BTU Conversion Factor'!$F$4</f>
        <v>0</v>
      </c>
      <c r="T24">
        <f>Public_2!T24*'BTU Conversion Factor'!$F$4</f>
        <v>0</v>
      </c>
      <c r="U24">
        <f>Public_2!U24*'BTU Conversion Factor'!$F$4</f>
        <v>0</v>
      </c>
      <c r="V24">
        <f>Public_2!V24*'BTU Conversion Factor'!$F$4</f>
        <v>0</v>
      </c>
      <c r="W24">
        <f>Public_2!W24*'BTU Conversion Factor'!$F$4</f>
        <v>0</v>
      </c>
      <c r="X24">
        <f>Public_2!X24*'BTU Conversion Factor'!$F$4</f>
        <v>0</v>
      </c>
      <c r="Y24">
        <f>Public_2!Y24*'BTU Conversion Factor'!$F$4</f>
        <v>0</v>
      </c>
      <c r="Z24">
        <f>Public_2!Z24*'BTU Conversion Factor'!$F$4</f>
        <v>0</v>
      </c>
      <c r="AA24">
        <f>Public_2!AA24*'BTU Conversion Factor'!$F$4</f>
        <v>0</v>
      </c>
      <c r="AB24">
        <f>Public_2!AB24*'BTU Conversion Factor'!$F$4</f>
        <v>0</v>
      </c>
      <c r="AC24">
        <f>Public_2!AC24*'BTU Conversion Factor'!$F$4</f>
        <v>0</v>
      </c>
      <c r="AD24">
        <f>Public_2!AD24*'BTU Conversion Factor'!$F$4</f>
        <v>0</v>
      </c>
      <c r="AE24">
        <f>Public_2!AE24*'BTU Conversion Factor'!$F$4</f>
        <v>0</v>
      </c>
      <c r="AF24">
        <f>Public_2!AF24*'BTU Conversion Factor'!$F$4</f>
        <v>0</v>
      </c>
      <c r="AG24">
        <f>Public_2!AG24*'BTU Conversion Factor'!$F$4</f>
        <v>0</v>
      </c>
      <c r="AH24">
        <f>Public_2!AH24*'BTU Conversion Factor'!$F$4</f>
        <v>0</v>
      </c>
      <c r="AI24">
        <f>Public_2!AI24*'BTU Conversion Factor'!$F$4</f>
        <v>0</v>
      </c>
      <c r="AJ24">
        <f>Public_2!AJ24*'BTU Conversion Factor'!$F$4</f>
        <v>0</v>
      </c>
      <c r="AK24">
        <f>Public_2!AK24*'BTU Conversion Factor'!$F$4</f>
        <v>0</v>
      </c>
      <c r="AL24">
        <f>Public_2!AL24*'BTU Conversion Factor'!$F$4</f>
        <v>0</v>
      </c>
      <c r="AM24">
        <f>Public_2!AM24*'BTU Conversion Factor'!$F$4</f>
        <v>0</v>
      </c>
      <c r="AN24">
        <f>Public_2!AN24*'BTU Conversion Factor'!$F$4</f>
        <v>0</v>
      </c>
      <c r="AO24">
        <f>Public_2!AO24*'BTU Conversion Factor'!$F$4</f>
        <v>0</v>
      </c>
      <c r="AP24">
        <f>Public_2!AP24*'BTU Conversion Factor'!$F$4</f>
        <v>0</v>
      </c>
      <c r="AQ24">
        <f>Public_2!AQ24*'BTU Conversion Factor'!$F$4</f>
        <v>0</v>
      </c>
      <c r="AR24">
        <f>Public_2!AR24*'BTU Conversion Factor'!$F$4</f>
        <v>0</v>
      </c>
      <c r="AS24">
        <f>Public_2!AS24*'BTU Conversion Factor'!$F$4</f>
        <v>0</v>
      </c>
      <c r="AT24">
        <f>Public_2!AT24*'BTU Conversion Factor'!$F$4</f>
        <v>0</v>
      </c>
      <c r="AU24">
        <f>Public_2!AU24*'BTU Conversion Factor'!$F$4</f>
        <v>0</v>
      </c>
    </row>
    <row r="25" spans="1:47">
      <c r="B25" s="54" t="s">
        <v>960</v>
      </c>
      <c r="C25">
        <f>Public_2!C25*'BTU Conversion Factor'!$F$4</f>
        <v>0</v>
      </c>
      <c r="D25">
        <f>Public_2!D25*'BTU Conversion Factor'!$F$4</f>
        <v>0</v>
      </c>
      <c r="E25">
        <f>Public_2!E25*'BTU Conversion Factor'!$F$4</f>
        <v>0</v>
      </c>
      <c r="F25">
        <f>Public_2!F25*'BTU Conversion Factor'!$F$4</f>
        <v>0</v>
      </c>
      <c r="G25">
        <f>Public_2!G25*'BTU Conversion Factor'!$F$4</f>
        <v>0</v>
      </c>
      <c r="H25">
        <f>Public_2!H25*'BTU Conversion Factor'!$F$4</f>
        <v>0</v>
      </c>
      <c r="I25">
        <f>Public_2!I25*'BTU Conversion Factor'!$F$4</f>
        <v>0</v>
      </c>
      <c r="J25">
        <f>Public_2!J25*'BTU Conversion Factor'!$F$4</f>
        <v>0</v>
      </c>
      <c r="K25">
        <f>Public_2!K25*'BTU Conversion Factor'!$F$4</f>
        <v>0</v>
      </c>
      <c r="L25">
        <f>Public_2!L25*'BTU Conversion Factor'!$F$4</f>
        <v>0</v>
      </c>
      <c r="M25">
        <f>Public_2!M25*'BTU Conversion Factor'!$F$4</f>
        <v>0</v>
      </c>
      <c r="N25">
        <f>Public_2!N25*'BTU Conversion Factor'!$F$4</f>
        <v>0</v>
      </c>
      <c r="O25">
        <f>Public_2!O25*'BTU Conversion Factor'!$F$4</f>
        <v>0</v>
      </c>
      <c r="P25">
        <f>Public_2!P25*'BTU Conversion Factor'!$F$4</f>
        <v>0</v>
      </c>
      <c r="Q25">
        <f>Public_2!Q25*'BTU Conversion Factor'!$F$4</f>
        <v>0</v>
      </c>
      <c r="R25">
        <f>Public_2!R25*'BTU Conversion Factor'!$F$4</f>
        <v>0</v>
      </c>
      <c r="S25">
        <f>Public_2!S25*'BTU Conversion Factor'!$F$4</f>
        <v>0</v>
      </c>
      <c r="T25">
        <f>Public_2!T25*'BTU Conversion Factor'!$F$4</f>
        <v>0</v>
      </c>
      <c r="U25">
        <f>Public_2!U25*'BTU Conversion Factor'!$F$4</f>
        <v>0</v>
      </c>
      <c r="V25">
        <f>Public_2!V25*'BTU Conversion Factor'!$F$4</f>
        <v>0</v>
      </c>
      <c r="W25">
        <f>Public_2!W25*'BTU Conversion Factor'!$F$4</f>
        <v>0</v>
      </c>
      <c r="X25">
        <f>Public_2!X25*'BTU Conversion Factor'!$F$4</f>
        <v>0</v>
      </c>
      <c r="Y25">
        <f>Public_2!Y25*'BTU Conversion Factor'!$F$4</f>
        <v>0</v>
      </c>
      <c r="Z25">
        <f>Public_2!Z25*'BTU Conversion Factor'!$F$4</f>
        <v>0</v>
      </c>
      <c r="AA25">
        <f>Public_2!AA25*'BTU Conversion Factor'!$F$4</f>
        <v>0</v>
      </c>
      <c r="AB25">
        <f>Public_2!AB25*'BTU Conversion Factor'!$F$4</f>
        <v>0</v>
      </c>
      <c r="AC25">
        <f>Public_2!AC25*'BTU Conversion Factor'!$F$4</f>
        <v>0</v>
      </c>
      <c r="AD25">
        <f>Public_2!AD25*'BTU Conversion Factor'!$F$4</f>
        <v>0</v>
      </c>
      <c r="AE25">
        <f>Public_2!AE25*'BTU Conversion Factor'!$F$4</f>
        <v>0</v>
      </c>
      <c r="AF25">
        <f>Public_2!AF25*'BTU Conversion Factor'!$F$4</f>
        <v>0</v>
      </c>
      <c r="AG25">
        <f>Public_2!AG25*'BTU Conversion Factor'!$F$4</f>
        <v>0</v>
      </c>
      <c r="AH25">
        <f>Public_2!AH25*'BTU Conversion Factor'!$F$4</f>
        <v>0</v>
      </c>
      <c r="AI25">
        <f>Public_2!AI25*'BTU Conversion Factor'!$F$4</f>
        <v>0</v>
      </c>
      <c r="AJ25">
        <f>Public_2!AJ25*'BTU Conversion Factor'!$F$4</f>
        <v>0</v>
      </c>
      <c r="AK25">
        <f>Public_2!AK25*'BTU Conversion Factor'!$F$4</f>
        <v>0</v>
      </c>
      <c r="AL25">
        <f>Public_2!AL25*'BTU Conversion Factor'!$F$4</f>
        <v>0</v>
      </c>
      <c r="AM25">
        <f>Public_2!AM25*'BTU Conversion Factor'!$F$4</f>
        <v>0</v>
      </c>
      <c r="AN25">
        <f>Public_2!AN25*'BTU Conversion Factor'!$F$4</f>
        <v>0</v>
      </c>
      <c r="AO25">
        <f>Public_2!AO25*'BTU Conversion Factor'!$F$4</f>
        <v>0</v>
      </c>
      <c r="AP25">
        <f>Public_2!AP25*'BTU Conversion Factor'!$F$4</f>
        <v>0</v>
      </c>
      <c r="AQ25">
        <f>Public_2!AQ25*'BTU Conversion Factor'!$F$4</f>
        <v>0</v>
      </c>
      <c r="AR25">
        <f>Public_2!AR25*'BTU Conversion Factor'!$F$4</f>
        <v>0</v>
      </c>
      <c r="AS25">
        <f>Public_2!AS25*'BTU Conversion Factor'!$F$4</f>
        <v>0</v>
      </c>
      <c r="AT25">
        <f>Public_2!AT25*'BTU Conversion Factor'!$F$4</f>
        <v>0</v>
      </c>
      <c r="AU25">
        <f>Public_2!AU25*'BTU Conversion Factor'!$F$4</f>
        <v>0</v>
      </c>
    </row>
    <row r="26" spans="1:47">
      <c r="B26" s="54" t="s">
        <v>961</v>
      </c>
      <c r="C26">
        <f>Public_2!C26*'BTU Conversion Factor'!$F$4</f>
        <v>0</v>
      </c>
      <c r="D26">
        <f>Public_2!D26*'BTU Conversion Factor'!$F$4</f>
        <v>0</v>
      </c>
      <c r="E26">
        <f>Public_2!E26*'BTU Conversion Factor'!$F$4</f>
        <v>0</v>
      </c>
      <c r="F26">
        <f>Public_2!F26*'BTU Conversion Factor'!$F$4</f>
        <v>0</v>
      </c>
      <c r="G26">
        <f>Public_2!G26*'BTU Conversion Factor'!$F$4</f>
        <v>0</v>
      </c>
      <c r="H26">
        <f>Public_2!H26*'BTU Conversion Factor'!$F$4</f>
        <v>0</v>
      </c>
      <c r="I26">
        <f>Public_2!I26*'BTU Conversion Factor'!$F$4</f>
        <v>0</v>
      </c>
      <c r="J26">
        <f>Public_2!J26*'BTU Conversion Factor'!$F$4</f>
        <v>0</v>
      </c>
      <c r="K26">
        <f>Public_2!K26*'BTU Conversion Factor'!$F$4</f>
        <v>0</v>
      </c>
      <c r="L26">
        <f>Public_2!L26*'BTU Conversion Factor'!$F$4</f>
        <v>0</v>
      </c>
      <c r="M26">
        <f>Public_2!M26*'BTU Conversion Factor'!$F$4</f>
        <v>0</v>
      </c>
      <c r="N26">
        <f>Public_2!N26*'BTU Conversion Factor'!$F$4</f>
        <v>0</v>
      </c>
      <c r="O26">
        <f>Public_2!O26*'BTU Conversion Factor'!$F$4</f>
        <v>0</v>
      </c>
      <c r="P26">
        <f>Public_2!P26*'BTU Conversion Factor'!$F$4</f>
        <v>0</v>
      </c>
      <c r="Q26">
        <f>Public_2!Q26*'BTU Conversion Factor'!$F$4</f>
        <v>0</v>
      </c>
      <c r="R26">
        <f>Public_2!R26*'BTU Conversion Factor'!$F$4</f>
        <v>0</v>
      </c>
      <c r="S26">
        <f>Public_2!S26*'BTU Conversion Factor'!$F$4</f>
        <v>0</v>
      </c>
      <c r="T26">
        <f>Public_2!T26*'BTU Conversion Factor'!$F$4</f>
        <v>0</v>
      </c>
      <c r="U26">
        <f>Public_2!U26*'BTU Conversion Factor'!$F$4</f>
        <v>0</v>
      </c>
      <c r="V26">
        <f>Public_2!V26*'BTU Conversion Factor'!$F$4</f>
        <v>0</v>
      </c>
      <c r="W26">
        <f>Public_2!W26*'BTU Conversion Factor'!$F$4</f>
        <v>0</v>
      </c>
      <c r="X26">
        <f>Public_2!X26*'BTU Conversion Factor'!$F$4</f>
        <v>0</v>
      </c>
      <c r="Y26">
        <f>Public_2!Y26*'BTU Conversion Factor'!$F$4</f>
        <v>0</v>
      </c>
      <c r="Z26">
        <f>Public_2!Z26*'BTU Conversion Factor'!$F$4</f>
        <v>0</v>
      </c>
      <c r="AA26">
        <f>Public_2!AA26*'BTU Conversion Factor'!$F$4</f>
        <v>0</v>
      </c>
      <c r="AB26">
        <f>Public_2!AB26*'BTU Conversion Factor'!$F$4</f>
        <v>0</v>
      </c>
      <c r="AC26">
        <f>Public_2!AC26*'BTU Conversion Factor'!$F$4</f>
        <v>0</v>
      </c>
      <c r="AD26">
        <f>Public_2!AD26*'BTU Conversion Factor'!$F$4</f>
        <v>0</v>
      </c>
      <c r="AE26">
        <f>Public_2!AE26*'BTU Conversion Factor'!$F$4</f>
        <v>0</v>
      </c>
      <c r="AF26">
        <f>Public_2!AF26*'BTU Conversion Factor'!$F$4</f>
        <v>0</v>
      </c>
      <c r="AG26">
        <f>Public_2!AG26*'BTU Conversion Factor'!$F$4</f>
        <v>0</v>
      </c>
      <c r="AH26">
        <f>Public_2!AH26*'BTU Conversion Factor'!$F$4</f>
        <v>0</v>
      </c>
      <c r="AI26">
        <f>Public_2!AI26*'BTU Conversion Factor'!$F$4</f>
        <v>0</v>
      </c>
      <c r="AJ26">
        <f>Public_2!AJ26*'BTU Conversion Factor'!$F$4</f>
        <v>0</v>
      </c>
      <c r="AK26">
        <f>Public_2!AK26*'BTU Conversion Factor'!$F$4</f>
        <v>0</v>
      </c>
      <c r="AL26">
        <f>Public_2!AL26*'BTU Conversion Factor'!$F$4</f>
        <v>0</v>
      </c>
      <c r="AM26">
        <f>Public_2!AM26*'BTU Conversion Factor'!$F$4</f>
        <v>0</v>
      </c>
      <c r="AN26">
        <f>Public_2!AN26*'BTU Conversion Factor'!$F$4</f>
        <v>0</v>
      </c>
      <c r="AO26">
        <f>Public_2!AO26*'BTU Conversion Factor'!$F$4</f>
        <v>0</v>
      </c>
      <c r="AP26">
        <f>Public_2!AP26*'BTU Conversion Factor'!$F$4</f>
        <v>0</v>
      </c>
      <c r="AQ26">
        <f>Public_2!AQ26*'BTU Conversion Factor'!$F$4</f>
        <v>0</v>
      </c>
      <c r="AR26">
        <f>Public_2!AR26*'BTU Conversion Factor'!$F$4</f>
        <v>0</v>
      </c>
      <c r="AS26">
        <f>Public_2!AS26*'BTU Conversion Factor'!$F$4</f>
        <v>0</v>
      </c>
      <c r="AT26">
        <f>Public_2!AT26*'BTU Conversion Factor'!$F$4</f>
        <v>0</v>
      </c>
      <c r="AU26">
        <f>Public_2!AU26*'BTU Conversion Factor'!$F$4</f>
        <v>0</v>
      </c>
    </row>
    <row r="27" spans="1:47">
      <c r="B27" s="54" t="s">
        <v>962</v>
      </c>
      <c r="C27">
        <f>Public_2!C27*'BTU Conversion Factor'!$F$4</f>
        <v>0</v>
      </c>
      <c r="D27">
        <f>Public_2!D27*'BTU Conversion Factor'!$F$4</f>
        <v>0</v>
      </c>
      <c r="E27">
        <f>Public_2!E27*'BTU Conversion Factor'!$F$4</f>
        <v>0</v>
      </c>
      <c r="F27">
        <f>Public_2!F27*'BTU Conversion Factor'!$F$4</f>
        <v>0</v>
      </c>
      <c r="G27">
        <f>Public_2!G27*'BTU Conversion Factor'!$F$4</f>
        <v>0</v>
      </c>
      <c r="H27">
        <f>Public_2!H27*'BTU Conversion Factor'!$F$4</f>
        <v>0</v>
      </c>
      <c r="I27">
        <f>Public_2!I27*'BTU Conversion Factor'!$F$4</f>
        <v>0</v>
      </c>
      <c r="J27">
        <f>Public_2!J27*'BTU Conversion Factor'!$F$4</f>
        <v>0</v>
      </c>
      <c r="K27">
        <f>Public_2!K27*'BTU Conversion Factor'!$F$4</f>
        <v>0</v>
      </c>
      <c r="L27">
        <f>Public_2!L27*'BTU Conversion Factor'!$F$4</f>
        <v>0</v>
      </c>
      <c r="M27">
        <f>Public_2!M27*'BTU Conversion Factor'!$F$4</f>
        <v>0</v>
      </c>
      <c r="N27">
        <f>Public_2!N27*'BTU Conversion Factor'!$F$4</f>
        <v>0</v>
      </c>
      <c r="O27">
        <f>Public_2!O27*'BTU Conversion Factor'!$F$4</f>
        <v>0</v>
      </c>
      <c r="P27">
        <f>Public_2!P27*'BTU Conversion Factor'!$F$4</f>
        <v>0</v>
      </c>
      <c r="Q27">
        <f>Public_2!Q27*'BTU Conversion Factor'!$F$4</f>
        <v>0</v>
      </c>
      <c r="R27">
        <f>Public_2!R27*'BTU Conversion Factor'!$F$4</f>
        <v>0</v>
      </c>
      <c r="S27">
        <f>Public_2!S27*'BTU Conversion Factor'!$F$4</f>
        <v>0</v>
      </c>
      <c r="T27">
        <f>Public_2!T27*'BTU Conversion Factor'!$F$4</f>
        <v>0</v>
      </c>
      <c r="U27">
        <f>Public_2!U27*'BTU Conversion Factor'!$F$4</f>
        <v>0</v>
      </c>
      <c r="V27">
        <f>Public_2!V27*'BTU Conversion Factor'!$F$4</f>
        <v>0</v>
      </c>
      <c r="W27">
        <f>Public_2!W27*'BTU Conversion Factor'!$F$4</f>
        <v>0</v>
      </c>
      <c r="X27">
        <f>Public_2!X27*'BTU Conversion Factor'!$F$4</f>
        <v>0</v>
      </c>
      <c r="Y27">
        <f>Public_2!Y27*'BTU Conversion Factor'!$F$4</f>
        <v>0</v>
      </c>
      <c r="Z27">
        <f>Public_2!Z27*'BTU Conversion Factor'!$F$4</f>
        <v>0</v>
      </c>
      <c r="AA27">
        <f>Public_2!AA27*'BTU Conversion Factor'!$F$4</f>
        <v>0</v>
      </c>
      <c r="AB27">
        <f>Public_2!AB27*'BTU Conversion Factor'!$F$4</f>
        <v>0</v>
      </c>
      <c r="AC27">
        <f>Public_2!AC27*'BTU Conversion Factor'!$F$4</f>
        <v>0</v>
      </c>
      <c r="AD27">
        <f>Public_2!AD27*'BTU Conversion Factor'!$F$4</f>
        <v>0</v>
      </c>
      <c r="AE27">
        <f>Public_2!AE27*'BTU Conversion Factor'!$F$4</f>
        <v>0</v>
      </c>
      <c r="AF27">
        <f>Public_2!AF27*'BTU Conversion Factor'!$F$4</f>
        <v>0</v>
      </c>
      <c r="AG27">
        <f>Public_2!AG27*'BTU Conversion Factor'!$F$4</f>
        <v>0</v>
      </c>
      <c r="AH27">
        <f>Public_2!AH27*'BTU Conversion Factor'!$F$4</f>
        <v>0</v>
      </c>
      <c r="AI27">
        <f>Public_2!AI27*'BTU Conversion Factor'!$F$4</f>
        <v>0</v>
      </c>
      <c r="AJ27">
        <f>Public_2!AJ27*'BTU Conversion Factor'!$F$4</f>
        <v>0</v>
      </c>
      <c r="AK27">
        <f>Public_2!AK27*'BTU Conversion Factor'!$F$4</f>
        <v>0</v>
      </c>
      <c r="AL27">
        <f>Public_2!AL27*'BTU Conversion Factor'!$F$4</f>
        <v>0</v>
      </c>
      <c r="AM27">
        <f>Public_2!AM27*'BTU Conversion Factor'!$F$4</f>
        <v>0</v>
      </c>
      <c r="AN27">
        <f>Public_2!AN27*'BTU Conversion Factor'!$F$4</f>
        <v>0</v>
      </c>
      <c r="AO27">
        <f>Public_2!AO27*'BTU Conversion Factor'!$F$4</f>
        <v>0</v>
      </c>
      <c r="AP27">
        <f>Public_2!AP27*'BTU Conversion Factor'!$F$4</f>
        <v>0</v>
      </c>
      <c r="AQ27">
        <f>Public_2!AQ27*'BTU Conversion Factor'!$F$4</f>
        <v>0</v>
      </c>
      <c r="AR27">
        <f>Public_2!AR27*'BTU Conversion Factor'!$F$4</f>
        <v>0</v>
      </c>
      <c r="AS27">
        <f>Public_2!AS27*'BTU Conversion Factor'!$F$4</f>
        <v>0</v>
      </c>
      <c r="AT27">
        <f>Public_2!AT27*'BTU Conversion Factor'!$F$4</f>
        <v>0</v>
      </c>
      <c r="AU27">
        <f>Public_2!AU27*'BTU Conversion Factor'!$F$4</f>
        <v>0</v>
      </c>
    </row>
    <row r="28" spans="1:47">
      <c r="B28" s="54" t="s">
        <v>963</v>
      </c>
      <c r="C28">
        <f>Public_2!C28*'BTU Conversion Factor'!$F$4</f>
        <v>0</v>
      </c>
      <c r="D28">
        <f>Public_2!D28*'BTU Conversion Factor'!$F$4</f>
        <v>0</v>
      </c>
      <c r="E28">
        <f>Public_2!E28*'BTU Conversion Factor'!$F$4</f>
        <v>0</v>
      </c>
      <c r="F28">
        <f>Public_2!F28*'BTU Conversion Factor'!$F$4</f>
        <v>0</v>
      </c>
      <c r="G28">
        <f>Public_2!G28*'BTU Conversion Factor'!$F$4</f>
        <v>0</v>
      </c>
      <c r="H28">
        <f>Public_2!H28*'BTU Conversion Factor'!$F$4</f>
        <v>0</v>
      </c>
      <c r="I28">
        <f>Public_2!I28*'BTU Conversion Factor'!$F$4</f>
        <v>0</v>
      </c>
      <c r="J28">
        <f>Public_2!J28*'BTU Conversion Factor'!$F$4</f>
        <v>0</v>
      </c>
      <c r="K28">
        <f>Public_2!K28*'BTU Conversion Factor'!$F$4</f>
        <v>0</v>
      </c>
      <c r="L28">
        <f>Public_2!L28*'BTU Conversion Factor'!$F$4</f>
        <v>0</v>
      </c>
      <c r="M28">
        <f>Public_2!M28*'BTU Conversion Factor'!$F$4</f>
        <v>0</v>
      </c>
      <c r="N28">
        <f>Public_2!N28*'BTU Conversion Factor'!$F$4</f>
        <v>0</v>
      </c>
      <c r="O28">
        <f>Public_2!O28*'BTU Conversion Factor'!$F$4</f>
        <v>0</v>
      </c>
      <c r="P28">
        <f>Public_2!P28*'BTU Conversion Factor'!$F$4</f>
        <v>0</v>
      </c>
      <c r="Q28">
        <f>Public_2!Q28*'BTU Conversion Factor'!$F$4</f>
        <v>0</v>
      </c>
      <c r="R28">
        <f>Public_2!R28*'BTU Conversion Factor'!$F$4</f>
        <v>0</v>
      </c>
      <c r="S28">
        <f>Public_2!S28*'BTU Conversion Factor'!$F$4</f>
        <v>0</v>
      </c>
      <c r="T28">
        <f>Public_2!T28*'BTU Conversion Factor'!$F$4</f>
        <v>0</v>
      </c>
      <c r="U28">
        <f>Public_2!U28*'BTU Conversion Factor'!$F$4</f>
        <v>0</v>
      </c>
      <c r="V28">
        <f>Public_2!V28*'BTU Conversion Factor'!$F$4</f>
        <v>0</v>
      </c>
      <c r="W28">
        <f>Public_2!W28*'BTU Conversion Factor'!$F$4</f>
        <v>0</v>
      </c>
      <c r="X28">
        <f>Public_2!X28*'BTU Conversion Factor'!$F$4</f>
        <v>0</v>
      </c>
      <c r="Y28">
        <f>Public_2!Y28*'BTU Conversion Factor'!$F$4</f>
        <v>0</v>
      </c>
      <c r="Z28">
        <f>Public_2!Z28*'BTU Conversion Factor'!$F$4</f>
        <v>0</v>
      </c>
      <c r="AA28">
        <f>Public_2!AA28*'BTU Conversion Factor'!$F$4</f>
        <v>0</v>
      </c>
      <c r="AB28">
        <f>Public_2!AB28*'BTU Conversion Factor'!$F$4</f>
        <v>0</v>
      </c>
      <c r="AC28">
        <f>Public_2!AC28*'BTU Conversion Factor'!$F$4</f>
        <v>0</v>
      </c>
      <c r="AD28">
        <f>Public_2!AD28*'BTU Conversion Factor'!$F$4</f>
        <v>0</v>
      </c>
      <c r="AE28">
        <f>Public_2!AE28*'BTU Conversion Factor'!$F$4</f>
        <v>0</v>
      </c>
      <c r="AF28">
        <f>Public_2!AF28*'BTU Conversion Factor'!$F$4</f>
        <v>0</v>
      </c>
      <c r="AG28">
        <f>Public_2!AG28*'BTU Conversion Factor'!$F$4</f>
        <v>0</v>
      </c>
      <c r="AH28">
        <f>Public_2!AH28*'BTU Conversion Factor'!$F$4</f>
        <v>0</v>
      </c>
      <c r="AI28">
        <f>Public_2!AI28*'BTU Conversion Factor'!$F$4</f>
        <v>0</v>
      </c>
      <c r="AJ28">
        <f>Public_2!AJ28*'BTU Conversion Factor'!$F$4</f>
        <v>0</v>
      </c>
      <c r="AK28">
        <f>Public_2!AK28*'BTU Conversion Factor'!$F$4</f>
        <v>0</v>
      </c>
      <c r="AL28">
        <f>Public_2!AL28*'BTU Conversion Factor'!$F$4</f>
        <v>0</v>
      </c>
      <c r="AM28">
        <f>Public_2!AM28*'BTU Conversion Factor'!$F$4</f>
        <v>0</v>
      </c>
      <c r="AN28">
        <f>Public_2!AN28*'BTU Conversion Factor'!$F$4</f>
        <v>0</v>
      </c>
      <c r="AO28">
        <f>Public_2!AO28*'BTU Conversion Factor'!$F$4</f>
        <v>0</v>
      </c>
      <c r="AP28">
        <f>Public_2!AP28*'BTU Conversion Factor'!$F$4</f>
        <v>0</v>
      </c>
      <c r="AQ28">
        <f>Public_2!AQ28*'BTU Conversion Factor'!$F$4</f>
        <v>0</v>
      </c>
      <c r="AR28">
        <f>Public_2!AR28*'BTU Conversion Factor'!$F$4</f>
        <v>0</v>
      </c>
      <c r="AS28">
        <f>Public_2!AS28*'BTU Conversion Factor'!$F$4</f>
        <v>0</v>
      </c>
      <c r="AT28">
        <f>Public_2!AT28*'BTU Conversion Factor'!$F$4</f>
        <v>0</v>
      </c>
      <c r="AU28">
        <f>Public_2!AU28*'BTU Conversion Factor'!$F$4</f>
        <v>0</v>
      </c>
    </row>
    <row r="30" spans="1:47" s="58" customFormat="1">
      <c r="A30" s="108" t="s">
        <v>939</v>
      </c>
    </row>
    <row r="31" spans="1:47" s="54" customFormat="1">
      <c r="B31" s="54" t="s">
        <v>481</v>
      </c>
      <c r="C31" s="54">
        <v>2006</v>
      </c>
      <c r="D31" s="54">
        <v>2007</v>
      </c>
      <c r="E31" s="54">
        <v>2008</v>
      </c>
      <c r="F31" s="54">
        <v>2009</v>
      </c>
      <c r="G31" s="54">
        <v>2010</v>
      </c>
      <c r="H31" s="54">
        <v>2011</v>
      </c>
      <c r="I31" s="54">
        <v>2012</v>
      </c>
      <c r="J31" s="54">
        <v>2013</v>
      </c>
      <c r="K31" s="54">
        <v>2014</v>
      </c>
      <c r="L31" s="54">
        <v>2015</v>
      </c>
      <c r="M31" s="54">
        <v>2016</v>
      </c>
      <c r="N31" s="54">
        <v>2017</v>
      </c>
      <c r="O31" s="54">
        <v>2018</v>
      </c>
      <c r="P31" s="54">
        <v>2019</v>
      </c>
      <c r="Q31" s="54">
        <v>2020</v>
      </c>
      <c r="R31" s="54">
        <v>2021</v>
      </c>
      <c r="S31" s="54">
        <v>2022</v>
      </c>
      <c r="T31" s="54">
        <v>2023</v>
      </c>
      <c r="U31" s="54">
        <v>2024</v>
      </c>
      <c r="V31" s="54">
        <v>2025</v>
      </c>
      <c r="W31" s="54">
        <v>2026</v>
      </c>
      <c r="X31" s="54">
        <v>2027</v>
      </c>
      <c r="Y31" s="54">
        <v>2028</v>
      </c>
      <c r="Z31" s="54">
        <v>2029</v>
      </c>
      <c r="AA31" s="54">
        <v>2030</v>
      </c>
      <c r="AB31" s="54">
        <v>2031</v>
      </c>
      <c r="AC31" s="54">
        <v>2032</v>
      </c>
      <c r="AD31" s="54">
        <v>2033</v>
      </c>
      <c r="AE31" s="54">
        <v>2034</v>
      </c>
      <c r="AF31" s="54">
        <v>2035</v>
      </c>
      <c r="AG31" s="54">
        <v>2036</v>
      </c>
      <c r="AH31" s="54">
        <v>2037</v>
      </c>
      <c r="AI31" s="54">
        <v>2038</v>
      </c>
      <c r="AJ31" s="54">
        <v>2039</v>
      </c>
      <c r="AK31" s="54">
        <v>2040</v>
      </c>
      <c r="AL31" s="54">
        <v>2041</v>
      </c>
      <c r="AM31" s="54">
        <v>2042</v>
      </c>
      <c r="AN31" s="54">
        <v>2043</v>
      </c>
      <c r="AO31" s="54">
        <v>2044</v>
      </c>
      <c r="AP31" s="54">
        <v>2045</v>
      </c>
      <c r="AQ31" s="54">
        <v>2046</v>
      </c>
      <c r="AR31" s="54">
        <v>2047</v>
      </c>
      <c r="AS31" s="54">
        <v>2048</v>
      </c>
      <c r="AT31" s="54">
        <v>2049</v>
      </c>
      <c r="AU31" s="54">
        <v>2050</v>
      </c>
    </row>
    <row r="32" spans="1:47">
      <c r="B32" s="54" t="s">
        <v>958</v>
      </c>
      <c r="C32" s="156">
        <f>Public_2!C32*'BTU Conversion Factor'!$F$4</f>
        <v>7727207336100.6924</v>
      </c>
      <c r="D32" s="156">
        <f>Public_2!D32*'BTU Conversion Factor'!$F$4</f>
        <v>8179715843030.7324</v>
      </c>
      <c r="E32" s="156">
        <f>Public_2!E32*'BTU Conversion Factor'!$F$4</f>
        <v>8434690707170.8184</v>
      </c>
      <c r="F32" s="156">
        <f>Public_2!F32*'BTU Conversion Factor'!$F$4</f>
        <v>8730056705828.3486</v>
      </c>
      <c r="G32" s="156">
        <f>Public_2!G32*'BTU Conversion Factor'!$F$4</f>
        <v>5440240328996.4365</v>
      </c>
      <c r="H32" s="156">
        <f>Public_2!H32*'BTU Conversion Factor'!$F$4</f>
        <v>5750178829447.8525</v>
      </c>
      <c r="I32" s="156">
        <f>Public_2!I32*'BTU Conversion Factor'!$F$4</f>
        <v>5891172419787.5195</v>
      </c>
      <c r="J32" s="156">
        <f>Public_2!J32*'BTU Conversion Factor'!$F$4</f>
        <v>5889002033804.8779</v>
      </c>
      <c r="K32" s="156">
        <f>Public_2!K32*'BTU Conversion Factor'!$F$4</f>
        <v>5989463903502.4844</v>
      </c>
      <c r="L32" s="156">
        <f>Public_2!L32*'BTU Conversion Factor'!$F$4</f>
        <v>5663644059639.2637</v>
      </c>
      <c r="M32" s="156">
        <f>Public_2!M32*'BTU Conversion Factor'!$F$4</f>
        <v>5576924596909.5313</v>
      </c>
      <c r="N32" s="156">
        <f>Public_2!N32*'BTU Conversion Factor'!$F$4</f>
        <v>5237766016664.7881</v>
      </c>
      <c r="O32" s="156">
        <f>Public_2!O32*'BTU Conversion Factor'!$F$4</f>
        <v>5341846561856.5674</v>
      </c>
      <c r="P32" s="156">
        <f>Public_2!P32*'BTU Conversion Factor'!$F$4</f>
        <v>5333786542246.3125</v>
      </c>
      <c r="Q32" s="156">
        <f>Public_2!Q32*'BTU Conversion Factor'!$F$4</f>
        <v>5670530104795.2021</v>
      </c>
      <c r="R32" s="156">
        <f>Public_2!R32*'BTU Conversion Factor'!$F$4</f>
        <v>5749017426606.875</v>
      </c>
      <c r="S32" s="156">
        <f>Public_2!S32*'BTU Conversion Factor'!$F$4</f>
        <v>7461048757965.0508</v>
      </c>
      <c r="T32" s="156">
        <f>Public_2!T32*'BTU Conversion Factor'!$F$4</f>
        <v>7838739466724.8672</v>
      </c>
      <c r="U32" s="156">
        <f>Public_2!U32*'BTU Conversion Factor'!$F$4</f>
        <v>8224902775352.1904</v>
      </c>
      <c r="V32" s="156">
        <f>Public_2!V32*'BTU Conversion Factor'!$F$4</f>
        <v>8614654270946.0859</v>
      </c>
      <c r="W32" s="156">
        <f>Public_2!W32*'BTU Conversion Factor'!$F$4</f>
        <v>9022615655324.8203</v>
      </c>
      <c r="X32" s="156">
        <f>Public_2!X32*'BTU Conversion Factor'!$F$4</f>
        <v>9450842998631.5449</v>
      </c>
      <c r="Y32" s="156">
        <f>Public_2!Y32*'BTU Conversion Factor'!$F$4</f>
        <v>9899170064323.5527</v>
      </c>
      <c r="Z32" s="156">
        <f>Public_2!Z32*'BTU Conversion Factor'!$F$4</f>
        <v>10364456576160.748</v>
      </c>
      <c r="AA32" s="156">
        <f>Public_2!AA32*'BTU Conversion Factor'!$F$4</f>
        <v>10845308244615.086</v>
      </c>
      <c r="AB32" s="156">
        <f>Public_2!AB32*'BTU Conversion Factor'!$F$4</f>
        <v>11338732461515.264</v>
      </c>
      <c r="AC32" s="156">
        <f>Public_2!AC32*'BTU Conversion Factor'!$F$4</f>
        <v>11847244594097.602</v>
      </c>
      <c r="AD32" s="156">
        <f>Public_2!AD32*'BTU Conversion Factor'!$F$4</f>
        <v>12372331834926.938</v>
      </c>
      <c r="AE32" s="156">
        <f>Public_2!AE32*'BTU Conversion Factor'!$F$4</f>
        <v>12915021946355.76</v>
      </c>
      <c r="AF32" s="156">
        <f>Public_2!AF32*'BTU Conversion Factor'!$F$4</f>
        <v>13477966122037.721</v>
      </c>
      <c r="AG32" s="156">
        <f>Public_2!AG32*'BTU Conversion Factor'!$F$4</f>
        <v>14045072549014.51</v>
      </c>
      <c r="AH32" s="156">
        <f>Public_2!AH32*'BTU Conversion Factor'!$F$4</f>
        <v>14630820567318.27</v>
      </c>
      <c r="AI32" s="156">
        <f>Public_2!AI32*'BTU Conversion Factor'!$F$4</f>
        <v>15228756442961.65</v>
      </c>
      <c r="AJ32" s="156">
        <f>Public_2!AJ32*'BTU Conversion Factor'!$F$4</f>
        <v>15836106768878.033</v>
      </c>
      <c r="AK32" s="156">
        <f>Public_2!AK32*'BTU Conversion Factor'!$F$4</f>
        <v>16452333309500.719</v>
      </c>
      <c r="AL32" s="156">
        <f>Public_2!AL32*'BTU Conversion Factor'!$F$4</f>
        <v>17077483798824.352</v>
      </c>
      <c r="AM32" s="156">
        <f>Public_2!AM32*'BTU Conversion Factor'!$F$4</f>
        <v>17712084838550.148</v>
      </c>
      <c r="AN32" s="156">
        <f>Public_2!AN32*'BTU Conversion Factor'!$F$4</f>
        <v>18358119927043.75</v>
      </c>
      <c r="AO32" s="156">
        <f>Public_2!AO32*'BTU Conversion Factor'!$F$4</f>
        <v>19013465735384.352</v>
      </c>
      <c r="AP32" s="156">
        <f>Public_2!AP32*'BTU Conversion Factor'!$F$4</f>
        <v>19678119524020.047</v>
      </c>
      <c r="AQ32" s="156">
        <f>Public_2!AQ32*'BTU Conversion Factor'!$F$4</f>
        <v>20349623149101.32</v>
      </c>
      <c r="AR32" s="156">
        <f>Public_2!AR32*'BTU Conversion Factor'!$F$4</f>
        <v>21435167047145.801</v>
      </c>
      <c r="AS32" s="156">
        <f>Public_2!AS32*'BTU Conversion Factor'!$F$4</f>
        <v>22246708987902.008</v>
      </c>
      <c r="AT32" s="156">
        <f>Public_2!AT32*'BTU Conversion Factor'!$F$4</f>
        <v>23082351222235.148</v>
      </c>
      <c r="AU32" s="156">
        <f>Public_2!AU32*'BTU Conversion Factor'!$F$4</f>
        <v>23942667890256.023</v>
      </c>
    </row>
    <row r="33" spans="1:47">
      <c r="B33" s="54" t="s">
        <v>959</v>
      </c>
      <c r="C33" s="156">
        <f>Public_2!C33*'BTU Conversion Factor'!$F$4</f>
        <v>0</v>
      </c>
      <c r="D33" s="156">
        <f>Public_2!D33*'BTU Conversion Factor'!$F$4</f>
        <v>0</v>
      </c>
      <c r="E33" s="156">
        <f>Public_2!E33*'BTU Conversion Factor'!$F$4</f>
        <v>0</v>
      </c>
      <c r="F33" s="156">
        <f>Public_2!F33*'BTU Conversion Factor'!$F$4</f>
        <v>0</v>
      </c>
      <c r="G33" s="156">
        <f>Public_2!G33*'BTU Conversion Factor'!$F$4</f>
        <v>0</v>
      </c>
      <c r="H33" s="156">
        <f>Public_2!H33*'BTU Conversion Factor'!$F$4</f>
        <v>0</v>
      </c>
      <c r="I33" s="156">
        <f>Public_2!I33*'BTU Conversion Factor'!$F$4</f>
        <v>0</v>
      </c>
      <c r="J33" s="156">
        <f>Public_2!J33*'BTU Conversion Factor'!$F$4</f>
        <v>0</v>
      </c>
      <c r="K33" s="156">
        <f>Public_2!K33*'BTU Conversion Factor'!$F$4</f>
        <v>0</v>
      </c>
      <c r="L33" s="156">
        <f>Public_2!L33*'BTU Conversion Factor'!$F$4</f>
        <v>0</v>
      </c>
      <c r="M33" s="156">
        <f>Public_2!M33*'BTU Conversion Factor'!$F$4</f>
        <v>0</v>
      </c>
      <c r="N33" s="156">
        <f>Public_2!N33*'BTU Conversion Factor'!$F$4</f>
        <v>0</v>
      </c>
      <c r="O33" s="156">
        <f>Public_2!O33*'BTU Conversion Factor'!$F$4</f>
        <v>0</v>
      </c>
      <c r="P33" s="156">
        <f>Public_2!P33*'BTU Conversion Factor'!$F$4</f>
        <v>0</v>
      </c>
      <c r="Q33" s="156">
        <f>Public_2!Q33*'BTU Conversion Factor'!$F$4</f>
        <v>0</v>
      </c>
      <c r="R33" s="156">
        <f>Public_2!R33*'BTU Conversion Factor'!$F$4</f>
        <v>0</v>
      </c>
      <c r="S33" s="156">
        <f>Public_2!S33*'BTU Conversion Factor'!$F$4</f>
        <v>0</v>
      </c>
      <c r="T33" s="156">
        <f>Public_2!T33*'BTU Conversion Factor'!$F$4</f>
        <v>0</v>
      </c>
      <c r="U33" s="156">
        <f>Public_2!U33*'BTU Conversion Factor'!$F$4</f>
        <v>0</v>
      </c>
      <c r="V33" s="156">
        <f>Public_2!V33*'BTU Conversion Factor'!$F$4</f>
        <v>0</v>
      </c>
      <c r="W33" s="156">
        <f>Public_2!W33*'BTU Conversion Factor'!$F$4</f>
        <v>0</v>
      </c>
      <c r="X33" s="156">
        <f>Public_2!X33*'BTU Conversion Factor'!$F$4</f>
        <v>0</v>
      </c>
      <c r="Y33" s="156">
        <f>Public_2!Y33*'BTU Conversion Factor'!$F$4</f>
        <v>0</v>
      </c>
      <c r="Z33" s="156">
        <f>Public_2!Z33*'BTU Conversion Factor'!$F$4</f>
        <v>0</v>
      </c>
      <c r="AA33" s="156">
        <f>Public_2!AA33*'BTU Conversion Factor'!$F$4</f>
        <v>0</v>
      </c>
      <c r="AB33" s="156">
        <f>Public_2!AB33*'BTU Conversion Factor'!$F$4</f>
        <v>0</v>
      </c>
      <c r="AC33" s="156">
        <f>Public_2!AC33*'BTU Conversion Factor'!$F$4</f>
        <v>0</v>
      </c>
      <c r="AD33" s="156">
        <f>Public_2!AD33*'BTU Conversion Factor'!$F$4</f>
        <v>0</v>
      </c>
      <c r="AE33" s="156">
        <f>Public_2!AE33*'BTU Conversion Factor'!$F$4</f>
        <v>0</v>
      </c>
      <c r="AF33" s="156">
        <f>Public_2!AF33*'BTU Conversion Factor'!$F$4</f>
        <v>0</v>
      </c>
      <c r="AG33" s="156">
        <f>Public_2!AG33*'BTU Conversion Factor'!$F$4</f>
        <v>0</v>
      </c>
      <c r="AH33" s="156">
        <f>Public_2!AH33*'BTU Conversion Factor'!$F$4</f>
        <v>0</v>
      </c>
      <c r="AI33" s="156">
        <f>Public_2!AI33*'BTU Conversion Factor'!$F$4</f>
        <v>0</v>
      </c>
      <c r="AJ33" s="156">
        <f>Public_2!AJ33*'BTU Conversion Factor'!$F$4</f>
        <v>0</v>
      </c>
      <c r="AK33" s="156">
        <f>Public_2!AK33*'BTU Conversion Factor'!$F$4</f>
        <v>0</v>
      </c>
      <c r="AL33" s="156">
        <f>Public_2!AL33*'BTU Conversion Factor'!$F$4</f>
        <v>0</v>
      </c>
      <c r="AM33" s="156">
        <f>Public_2!AM33*'BTU Conversion Factor'!$F$4</f>
        <v>0</v>
      </c>
      <c r="AN33" s="156">
        <f>Public_2!AN33*'BTU Conversion Factor'!$F$4</f>
        <v>0</v>
      </c>
      <c r="AO33" s="156">
        <f>Public_2!AO33*'BTU Conversion Factor'!$F$4</f>
        <v>0</v>
      </c>
      <c r="AP33" s="156">
        <f>Public_2!AP33*'BTU Conversion Factor'!$F$4</f>
        <v>0</v>
      </c>
      <c r="AQ33" s="156">
        <f>Public_2!AQ33*'BTU Conversion Factor'!$F$4</f>
        <v>0</v>
      </c>
      <c r="AR33" s="156">
        <f>Public_2!AR33*'BTU Conversion Factor'!$F$4</f>
        <v>0</v>
      </c>
      <c r="AS33" s="156">
        <f>Public_2!AS33*'BTU Conversion Factor'!$F$4</f>
        <v>0</v>
      </c>
      <c r="AT33" s="156">
        <f>Public_2!AT33*'BTU Conversion Factor'!$F$4</f>
        <v>0</v>
      </c>
      <c r="AU33" s="156">
        <f>Public_2!AU33*'BTU Conversion Factor'!$F$4</f>
        <v>0</v>
      </c>
    </row>
    <row r="34" spans="1:47">
      <c r="B34" s="54" t="s">
        <v>960</v>
      </c>
      <c r="C34" s="156">
        <f>Public_2!C34*'BTU Conversion Factor'!$F$4</f>
        <v>8006226146333.335</v>
      </c>
      <c r="D34" s="156">
        <f>Public_2!D34*'BTU Conversion Factor'!$F$4</f>
        <v>7838639630932.4873</v>
      </c>
      <c r="E34" s="156">
        <f>Public_2!E34*'BTU Conversion Factor'!$F$4</f>
        <v>7944485715048.6904</v>
      </c>
      <c r="F34" s="156">
        <f>Public_2!F34*'BTU Conversion Factor'!$F$4</f>
        <v>7869851861726.9365</v>
      </c>
      <c r="G34" s="156">
        <f>Public_2!G34*'BTU Conversion Factor'!$F$4</f>
        <v>5206354968039.6572</v>
      </c>
      <c r="H34" s="156">
        <f>Public_2!H34*'BTU Conversion Factor'!$F$4</f>
        <v>4962215214035.0879</v>
      </c>
      <c r="I34" s="156">
        <f>Public_2!I34*'BTU Conversion Factor'!$F$4</f>
        <v>4938727827575.5811</v>
      </c>
      <c r="J34" s="156">
        <f>Public_2!J34*'BTU Conversion Factor'!$F$4</f>
        <v>5018612693878.1924</v>
      </c>
      <c r="K34" s="156">
        <f>Public_2!K34*'BTU Conversion Factor'!$F$4</f>
        <v>4919833759714.708</v>
      </c>
      <c r="L34" s="156">
        <f>Public_2!L34*'BTU Conversion Factor'!$F$4</f>
        <v>4807369473976.7559</v>
      </c>
      <c r="M34" s="156">
        <f>Public_2!M34*'BTU Conversion Factor'!$F$4</f>
        <v>4868443763162.2383</v>
      </c>
      <c r="N34" s="156">
        <f>Public_2!N34*'BTU Conversion Factor'!$F$4</f>
        <v>4646152680540.4873</v>
      </c>
      <c r="O34" s="156">
        <f>Public_2!O34*'BTU Conversion Factor'!$F$4</f>
        <v>4644637305495.7598</v>
      </c>
      <c r="P34" s="156">
        <f>Public_2!P34*'BTU Conversion Factor'!$F$4</f>
        <v>4544915658733.2666</v>
      </c>
      <c r="Q34" s="156">
        <f>Public_2!Q34*'BTU Conversion Factor'!$F$4</f>
        <v>4866493691799.4854</v>
      </c>
      <c r="R34" s="156">
        <f>Public_2!R34*'BTU Conversion Factor'!$F$4</f>
        <v>4790964873261.8984</v>
      </c>
      <c r="S34" s="156">
        <f>Public_2!S34*'BTU Conversion Factor'!$F$4</f>
        <v>4809703468465.127</v>
      </c>
      <c r="T34" s="156">
        <f>Public_2!T34*'BTU Conversion Factor'!$F$4</f>
        <v>4877145100102.6582</v>
      </c>
      <c r="U34" s="156">
        <f>Public_2!U34*'BTU Conversion Factor'!$F$4</f>
        <v>4939875681919.5664</v>
      </c>
      <c r="V34" s="156">
        <f>Public_2!V34*'BTU Conversion Factor'!$F$4</f>
        <v>4995095653169.1455</v>
      </c>
      <c r="W34" s="156">
        <f>Public_2!W34*'BTU Conversion Factor'!$F$4</f>
        <v>5051314068720.0742</v>
      </c>
      <c r="X34" s="156">
        <f>Public_2!X34*'BTU Conversion Factor'!$F$4</f>
        <v>5109097317626.6006</v>
      </c>
      <c r="Y34" s="156">
        <f>Public_2!Y34*'BTU Conversion Factor'!$F$4</f>
        <v>5167738364413.7676</v>
      </c>
      <c r="Z34" s="156">
        <f>Public_2!Z34*'BTU Conversion Factor'!$F$4</f>
        <v>5225086729841.7559</v>
      </c>
      <c r="AA34" s="156">
        <f>Public_2!AA34*'BTU Conversion Factor'!$F$4</f>
        <v>5280098558987.4893</v>
      </c>
      <c r="AB34" s="156">
        <f>Public_2!AB34*'BTU Conversion Factor'!$F$4</f>
        <v>5331096617839.7217</v>
      </c>
      <c r="AC34" s="156">
        <f>Public_2!AC34*'BTU Conversion Factor'!$F$4</f>
        <v>5379115790880.7285</v>
      </c>
      <c r="AD34" s="156">
        <f>Public_2!AD34*'BTU Conversion Factor'!$F$4</f>
        <v>5424590410454.5732</v>
      </c>
      <c r="AE34" s="156">
        <f>Public_2!AE34*'BTU Conversion Factor'!$F$4</f>
        <v>5467684780981.8252</v>
      </c>
      <c r="AF34" s="156">
        <f>Public_2!AF34*'BTU Conversion Factor'!$F$4</f>
        <v>5509184153151.9697</v>
      </c>
      <c r="AG34" s="156">
        <f>Public_2!AG34*'BTU Conversion Factor'!$F$4</f>
        <v>5542346452276.4688</v>
      </c>
      <c r="AH34" s="156">
        <f>Public_2!AH34*'BTU Conversion Factor'!$F$4</f>
        <v>5572980878044.6279</v>
      </c>
      <c r="AI34" s="156">
        <f>Public_2!AI34*'BTU Conversion Factor'!$F$4</f>
        <v>5598413806729.5908</v>
      </c>
      <c r="AJ34" s="156">
        <f>Public_2!AJ34*'BTU Conversion Factor'!$F$4</f>
        <v>5617627984538.1133</v>
      </c>
      <c r="AK34" s="156">
        <f>Public_2!AK34*'BTU Conversion Factor'!$F$4</f>
        <v>5630511852559.0742</v>
      </c>
      <c r="AL34" s="156">
        <f>Public_2!AL34*'BTU Conversion Factor'!$F$4</f>
        <v>5637169217203.5762</v>
      </c>
      <c r="AM34" s="156">
        <f>Public_2!AM34*'BTU Conversion Factor'!$F$4</f>
        <v>5637849039840.8301</v>
      </c>
      <c r="AN34" s="156">
        <f>Public_2!AN34*'BTU Conversion Factor'!$F$4</f>
        <v>5633218638250.207</v>
      </c>
      <c r="AO34" s="156">
        <f>Public_2!AO34*'BTU Conversion Factor'!$F$4</f>
        <v>5622639300607.5928</v>
      </c>
      <c r="AP34" s="156">
        <f>Public_2!AP34*'BTU Conversion Factor'!$F$4</f>
        <v>5606169046751.792</v>
      </c>
      <c r="AQ34" s="156">
        <f>Public_2!AQ34*'BTU Conversion Factor'!$F$4</f>
        <v>5583189183942.8809</v>
      </c>
      <c r="AR34" s="156">
        <f>Public_2!AR34*'BTU Conversion Factor'!$F$4</f>
        <v>5661373629536.0518</v>
      </c>
      <c r="AS34" s="156">
        <f>Public_2!AS34*'BTU Conversion Factor'!$F$4</f>
        <v>5653798833358.6777</v>
      </c>
      <c r="AT34" s="156">
        <f>Public_2!AT34*'BTU Conversion Factor'!$F$4</f>
        <v>5641947977251.3965</v>
      </c>
      <c r="AU34" s="156">
        <f>Public_2!AU34*'BTU Conversion Factor'!$F$4</f>
        <v>5625666671362.1582</v>
      </c>
    </row>
    <row r="35" spans="1:47">
      <c r="B35" s="54" t="s">
        <v>961</v>
      </c>
      <c r="C35" s="156">
        <f>Public_2!C35*'BTU Conversion Factor'!$F$4</f>
        <v>0</v>
      </c>
      <c r="D35" s="156">
        <f>Public_2!D35*'BTU Conversion Factor'!$F$4</f>
        <v>0</v>
      </c>
      <c r="E35" s="156">
        <f>Public_2!E35*'BTU Conversion Factor'!$F$4</f>
        <v>0</v>
      </c>
      <c r="F35" s="156">
        <f>Public_2!F35*'BTU Conversion Factor'!$F$4</f>
        <v>0</v>
      </c>
      <c r="G35" s="156">
        <f>Public_2!G35*'BTU Conversion Factor'!$F$4</f>
        <v>0</v>
      </c>
      <c r="H35" s="156">
        <f>Public_2!H35*'BTU Conversion Factor'!$F$4</f>
        <v>0</v>
      </c>
      <c r="I35" s="156">
        <f>Public_2!I35*'BTU Conversion Factor'!$F$4</f>
        <v>0</v>
      </c>
      <c r="J35" s="156">
        <f>Public_2!J35*'BTU Conversion Factor'!$F$4</f>
        <v>0</v>
      </c>
      <c r="K35" s="156">
        <f>Public_2!K35*'BTU Conversion Factor'!$F$4</f>
        <v>0</v>
      </c>
      <c r="L35" s="156">
        <f>Public_2!L35*'BTU Conversion Factor'!$F$4</f>
        <v>0</v>
      </c>
      <c r="M35" s="156">
        <f>Public_2!M35*'BTU Conversion Factor'!$F$4</f>
        <v>0</v>
      </c>
      <c r="N35" s="156">
        <f>Public_2!N35*'BTU Conversion Factor'!$F$4</f>
        <v>0</v>
      </c>
      <c r="O35" s="156">
        <f>Public_2!O35*'BTU Conversion Factor'!$F$4</f>
        <v>0</v>
      </c>
      <c r="P35" s="156">
        <f>Public_2!P35*'BTU Conversion Factor'!$F$4</f>
        <v>0</v>
      </c>
      <c r="Q35" s="156">
        <f>Public_2!Q35*'BTU Conversion Factor'!$F$4</f>
        <v>0</v>
      </c>
      <c r="R35" s="156">
        <f>Public_2!R35*'BTU Conversion Factor'!$F$4</f>
        <v>0</v>
      </c>
      <c r="S35" s="156">
        <f>Public_2!S35*'BTU Conversion Factor'!$F$4</f>
        <v>0</v>
      </c>
      <c r="T35" s="156">
        <f>Public_2!T35*'BTU Conversion Factor'!$F$4</f>
        <v>0</v>
      </c>
      <c r="U35" s="156">
        <f>Public_2!U35*'BTU Conversion Factor'!$F$4</f>
        <v>0</v>
      </c>
      <c r="V35" s="156">
        <f>Public_2!V35*'BTU Conversion Factor'!$F$4</f>
        <v>0</v>
      </c>
      <c r="W35" s="156">
        <f>Public_2!W35*'BTU Conversion Factor'!$F$4</f>
        <v>0</v>
      </c>
      <c r="X35" s="156">
        <f>Public_2!X35*'BTU Conversion Factor'!$F$4</f>
        <v>0</v>
      </c>
      <c r="Y35" s="156">
        <f>Public_2!Y35*'BTU Conversion Factor'!$F$4</f>
        <v>0</v>
      </c>
      <c r="Z35" s="156">
        <f>Public_2!Z35*'BTU Conversion Factor'!$F$4</f>
        <v>0</v>
      </c>
      <c r="AA35" s="156">
        <f>Public_2!AA35*'BTU Conversion Factor'!$F$4</f>
        <v>0</v>
      </c>
      <c r="AB35" s="156">
        <f>Public_2!AB35*'BTU Conversion Factor'!$F$4</f>
        <v>0</v>
      </c>
      <c r="AC35" s="156">
        <f>Public_2!AC35*'BTU Conversion Factor'!$F$4</f>
        <v>0</v>
      </c>
      <c r="AD35" s="156">
        <f>Public_2!AD35*'BTU Conversion Factor'!$F$4</f>
        <v>0</v>
      </c>
      <c r="AE35" s="156">
        <f>Public_2!AE35*'BTU Conversion Factor'!$F$4</f>
        <v>0</v>
      </c>
      <c r="AF35" s="156">
        <f>Public_2!AF35*'BTU Conversion Factor'!$F$4</f>
        <v>0</v>
      </c>
      <c r="AG35" s="156">
        <f>Public_2!AG35*'BTU Conversion Factor'!$F$4</f>
        <v>0</v>
      </c>
      <c r="AH35" s="156">
        <f>Public_2!AH35*'BTU Conversion Factor'!$F$4</f>
        <v>0</v>
      </c>
      <c r="AI35" s="156">
        <f>Public_2!AI35*'BTU Conversion Factor'!$F$4</f>
        <v>0</v>
      </c>
      <c r="AJ35" s="156">
        <f>Public_2!AJ35*'BTU Conversion Factor'!$F$4</f>
        <v>0</v>
      </c>
      <c r="AK35" s="156">
        <f>Public_2!AK35*'BTU Conversion Factor'!$F$4</f>
        <v>0</v>
      </c>
      <c r="AL35" s="156">
        <f>Public_2!AL35*'BTU Conversion Factor'!$F$4</f>
        <v>0</v>
      </c>
      <c r="AM35" s="156">
        <f>Public_2!AM35*'BTU Conversion Factor'!$F$4</f>
        <v>0</v>
      </c>
      <c r="AN35" s="156">
        <f>Public_2!AN35*'BTU Conversion Factor'!$F$4</f>
        <v>0</v>
      </c>
      <c r="AO35" s="156">
        <f>Public_2!AO35*'BTU Conversion Factor'!$F$4</f>
        <v>0</v>
      </c>
      <c r="AP35" s="156">
        <f>Public_2!AP35*'BTU Conversion Factor'!$F$4</f>
        <v>0</v>
      </c>
      <c r="AQ35" s="156">
        <f>Public_2!AQ35*'BTU Conversion Factor'!$F$4</f>
        <v>0</v>
      </c>
      <c r="AR35" s="156">
        <f>Public_2!AR35*'BTU Conversion Factor'!$F$4</f>
        <v>0</v>
      </c>
      <c r="AS35" s="156">
        <f>Public_2!AS35*'BTU Conversion Factor'!$F$4</f>
        <v>0</v>
      </c>
      <c r="AT35" s="156">
        <f>Public_2!AT35*'BTU Conversion Factor'!$F$4</f>
        <v>0</v>
      </c>
      <c r="AU35" s="156">
        <f>Public_2!AU35*'BTU Conversion Factor'!$F$4</f>
        <v>0</v>
      </c>
    </row>
    <row r="36" spans="1:47">
      <c r="B36" s="54" t="s">
        <v>962</v>
      </c>
      <c r="C36" s="156">
        <f>Public_2!C36*'BTU Conversion Factor'!$F$4</f>
        <v>0</v>
      </c>
      <c r="D36" s="156">
        <f>Public_2!D36*'BTU Conversion Factor'!$F$4</f>
        <v>0</v>
      </c>
      <c r="E36" s="156">
        <f>Public_2!E36*'BTU Conversion Factor'!$F$4</f>
        <v>0</v>
      </c>
      <c r="F36" s="156">
        <f>Public_2!F36*'BTU Conversion Factor'!$F$4</f>
        <v>0</v>
      </c>
      <c r="G36" s="156">
        <f>Public_2!G36*'BTU Conversion Factor'!$F$4</f>
        <v>0</v>
      </c>
      <c r="H36" s="156">
        <f>Public_2!H36*'BTU Conversion Factor'!$F$4</f>
        <v>0</v>
      </c>
      <c r="I36" s="156">
        <f>Public_2!I36*'BTU Conversion Factor'!$F$4</f>
        <v>0</v>
      </c>
      <c r="J36" s="156">
        <f>Public_2!J36*'BTU Conversion Factor'!$F$4</f>
        <v>0</v>
      </c>
      <c r="K36" s="156">
        <f>Public_2!K36*'BTU Conversion Factor'!$F$4</f>
        <v>0</v>
      </c>
      <c r="L36" s="156">
        <f>Public_2!L36*'BTU Conversion Factor'!$F$4</f>
        <v>0</v>
      </c>
      <c r="M36" s="156">
        <f>Public_2!M36*'BTU Conversion Factor'!$F$4</f>
        <v>0</v>
      </c>
      <c r="N36" s="156">
        <f>Public_2!N36*'BTU Conversion Factor'!$F$4</f>
        <v>0</v>
      </c>
      <c r="O36" s="156">
        <f>Public_2!O36*'BTU Conversion Factor'!$F$4</f>
        <v>0</v>
      </c>
      <c r="P36" s="156">
        <f>Public_2!P36*'BTU Conversion Factor'!$F$4</f>
        <v>0</v>
      </c>
      <c r="Q36" s="156">
        <f>Public_2!Q36*'BTU Conversion Factor'!$F$4</f>
        <v>0</v>
      </c>
      <c r="R36" s="156">
        <f>Public_2!R36*'BTU Conversion Factor'!$F$4</f>
        <v>0</v>
      </c>
      <c r="S36" s="156">
        <f>Public_2!S36*'BTU Conversion Factor'!$F$4</f>
        <v>0</v>
      </c>
      <c r="T36" s="156">
        <f>Public_2!T36*'BTU Conversion Factor'!$F$4</f>
        <v>0</v>
      </c>
      <c r="U36" s="156">
        <f>Public_2!U36*'BTU Conversion Factor'!$F$4</f>
        <v>0</v>
      </c>
      <c r="V36" s="156">
        <f>Public_2!V36*'BTU Conversion Factor'!$F$4</f>
        <v>0</v>
      </c>
      <c r="W36" s="156">
        <f>Public_2!W36*'BTU Conversion Factor'!$F$4</f>
        <v>0</v>
      </c>
      <c r="X36" s="156">
        <f>Public_2!X36*'BTU Conversion Factor'!$F$4</f>
        <v>0</v>
      </c>
      <c r="Y36" s="156">
        <f>Public_2!Y36*'BTU Conversion Factor'!$F$4</f>
        <v>0</v>
      </c>
      <c r="Z36" s="156">
        <f>Public_2!Z36*'BTU Conversion Factor'!$F$4</f>
        <v>0</v>
      </c>
      <c r="AA36" s="156">
        <f>Public_2!AA36*'BTU Conversion Factor'!$F$4</f>
        <v>0</v>
      </c>
      <c r="AB36" s="156">
        <f>Public_2!AB36*'BTU Conversion Factor'!$F$4</f>
        <v>0</v>
      </c>
      <c r="AC36" s="156">
        <f>Public_2!AC36*'BTU Conversion Factor'!$F$4</f>
        <v>0</v>
      </c>
      <c r="AD36" s="156">
        <f>Public_2!AD36*'BTU Conversion Factor'!$F$4</f>
        <v>0</v>
      </c>
      <c r="AE36" s="156">
        <f>Public_2!AE36*'BTU Conversion Factor'!$F$4</f>
        <v>0</v>
      </c>
      <c r="AF36" s="156">
        <f>Public_2!AF36*'BTU Conversion Factor'!$F$4</f>
        <v>0</v>
      </c>
      <c r="AG36" s="156">
        <f>Public_2!AG36*'BTU Conversion Factor'!$F$4</f>
        <v>0</v>
      </c>
      <c r="AH36" s="156">
        <f>Public_2!AH36*'BTU Conversion Factor'!$F$4</f>
        <v>0</v>
      </c>
      <c r="AI36" s="156">
        <f>Public_2!AI36*'BTU Conversion Factor'!$F$4</f>
        <v>0</v>
      </c>
      <c r="AJ36" s="156">
        <f>Public_2!AJ36*'BTU Conversion Factor'!$F$4</f>
        <v>0</v>
      </c>
      <c r="AK36" s="156">
        <f>Public_2!AK36*'BTU Conversion Factor'!$F$4</f>
        <v>0</v>
      </c>
      <c r="AL36" s="156">
        <f>Public_2!AL36*'BTU Conversion Factor'!$F$4</f>
        <v>0</v>
      </c>
      <c r="AM36" s="156">
        <f>Public_2!AM36*'BTU Conversion Factor'!$F$4</f>
        <v>0</v>
      </c>
      <c r="AN36" s="156">
        <f>Public_2!AN36*'BTU Conversion Factor'!$F$4</f>
        <v>0</v>
      </c>
      <c r="AO36" s="156">
        <f>Public_2!AO36*'BTU Conversion Factor'!$F$4</f>
        <v>0</v>
      </c>
      <c r="AP36" s="156">
        <f>Public_2!AP36*'BTU Conversion Factor'!$F$4</f>
        <v>0</v>
      </c>
      <c r="AQ36" s="156">
        <f>Public_2!AQ36*'BTU Conversion Factor'!$F$4</f>
        <v>0</v>
      </c>
      <c r="AR36" s="156">
        <f>Public_2!AR36*'BTU Conversion Factor'!$F$4</f>
        <v>0</v>
      </c>
      <c r="AS36" s="156">
        <f>Public_2!AS36*'BTU Conversion Factor'!$F$4</f>
        <v>0</v>
      </c>
      <c r="AT36" s="156">
        <f>Public_2!AT36*'BTU Conversion Factor'!$F$4</f>
        <v>0</v>
      </c>
      <c r="AU36" s="156">
        <f>Public_2!AU36*'BTU Conversion Factor'!$F$4</f>
        <v>0</v>
      </c>
    </row>
    <row r="37" spans="1:47">
      <c r="B37" s="54" t="s">
        <v>963</v>
      </c>
      <c r="C37" s="156">
        <f>Public_2!C37*'BTU Conversion Factor'!$F$4</f>
        <v>0</v>
      </c>
      <c r="D37" s="156">
        <f>Public_2!D37*'BTU Conversion Factor'!$F$4</f>
        <v>0</v>
      </c>
      <c r="E37" s="156">
        <f>Public_2!E37*'BTU Conversion Factor'!$F$4</f>
        <v>0</v>
      </c>
      <c r="F37" s="156">
        <f>Public_2!F37*'BTU Conversion Factor'!$F$4</f>
        <v>0</v>
      </c>
      <c r="G37" s="156">
        <f>Public_2!G37*'BTU Conversion Factor'!$F$4</f>
        <v>0</v>
      </c>
      <c r="H37" s="156">
        <f>Public_2!H37*'BTU Conversion Factor'!$F$4</f>
        <v>0</v>
      </c>
      <c r="I37" s="156">
        <f>Public_2!I37*'BTU Conversion Factor'!$F$4</f>
        <v>0</v>
      </c>
      <c r="J37" s="156">
        <f>Public_2!J37*'BTU Conversion Factor'!$F$4</f>
        <v>0</v>
      </c>
      <c r="K37" s="156">
        <f>Public_2!K37*'BTU Conversion Factor'!$F$4</f>
        <v>0</v>
      </c>
      <c r="L37" s="156">
        <f>Public_2!L37*'BTU Conversion Factor'!$F$4</f>
        <v>0</v>
      </c>
      <c r="M37" s="156">
        <f>Public_2!M37*'BTU Conversion Factor'!$F$4</f>
        <v>0</v>
      </c>
      <c r="N37" s="156">
        <f>Public_2!N37*'BTU Conversion Factor'!$F$4</f>
        <v>0</v>
      </c>
      <c r="O37" s="156">
        <f>Public_2!O37*'BTU Conversion Factor'!$F$4</f>
        <v>0</v>
      </c>
      <c r="P37" s="156">
        <f>Public_2!P37*'BTU Conversion Factor'!$F$4</f>
        <v>0</v>
      </c>
      <c r="Q37" s="156">
        <f>Public_2!Q37*'BTU Conversion Factor'!$F$4</f>
        <v>0</v>
      </c>
      <c r="R37" s="156">
        <f>Public_2!R37*'BTU Conversion Factor'!$F$4</f>
        <v>0</v>
      </c>
      <c r="S37" s="156">
        <f>Public_2!S37*'BTU Conversion Factor'!$F$4</f>
        <v>0</v>
      </c>
      <c r="T37" s="156">
        <f>Public_2!T37*'BTU Conversion Factor'!$F$4</f>
        <v>0</v>
      </c>
      <c r="U37" s="156">
        <f>Public_2!U37*'BTU Conversion Factor'!$F$4</f>
        <v>0</v>
      </c>
      <c r="V37" s="156">
        <f>Public_2!V37*'BTU Conversion Factor'!$F$4</f>
        <v>0</v>
      </c>
      <c r="W37" s="156">
        <f>Public_2!W37*'BTU Conversion Factor'!$F$4</f>
        <v>0</v>
      </c>
      <c r="X37" s="156">
        <f>Public_2!X37*'BTU Conversion Factor'!$F$4</f>
        <v>0</v>
      </c>
      <c r="Y37" s="156">
        <f>Public_2!Y37*'BTU Conversion Factor'!$F$4</f>
        <v>0</v>
      </c>
      <c r="Z37" s="156">
        <f>Public_2!Z37*'BTU Conversion Factor'!$F$4</f>
        <v>0</v>
      </c>
      <c r="AA37" s="156">
        <f>Public_2!AA37*'BTU Conversion Factor'!$F$4</f>
        <v>0</v>
      </c>
      <c r="AB37" s="156">
        <f>Public_2!AB37*'BTU Conversion Factor'!$F$4</f>
        <v>0</v>
      </c>
      <c r="AC37" s="156">
        <f>Public_2!AC37*'BTU Conversion Factor'!$F$4</f>
        <v>0</v>
      </c>
      <c r="AD37" s="156">
        <f>Public_2!AD37*'BTU Conversion Factor'!$F$4</f>
        <v>0</v>
      </c>
      <c r="AE37" s="156">
        <f>Public_2!AE37*'BTU Conversion Factor'!$F$4</f>
        <v>0</v>
      </c>
      <c r="AF37" s="156">
        <f>Public_2!AF37*'BTU Conversion Factor'!$F$4</f>
        <v>0</v>
      </c>
      <c r="AG37" s="156">
        <f>Public_2!AG37*'BTU Conversion Factor'!$F$4</f>
        <v>0</v>
      </c>
      <c r="AH37" s="156">
        <f>Public_2!AH37*'BTU Conversion Factor'!$F$4</f>
        <v>0</v>
      </c>
      <c r="AI37" s="156">
        <f>Public_2!AI37*'BTU Conversion Factor'!$F$4</f>
        <v>0</v>
      </c>
      <c r="AJ37" s="156">
        <f>Public_2!AJ37*'BTU Conversion Factor'!$F$4</f>
        <v>0</v>
      </c>
      <c r="AK37" s="156">
        <f>Public_2!AK37*'BTU Conversion Factor'!$F$4</f>
        <v>0</v>
      </c>
      <c r="AL37" s="156">
        <f>Public_2!AL37*'BTU Conversion Factor'!$F$4</f>
        <v>0</v>
      </c>
      <c r="AM37" s="156">
        <f>Public_2!AM37*'BTU Conversion Factor'!$F$4</f>
        <v>0</v>
      </c>
      <c r="AN37" s="156">
        <f>Public_2!AN37*'BTU Conversion Factor'!$F$4</f>
        <v>0</v>
      </c>
      <c r="AO37" s="156">
        <f>Public_2!AO37*'BTU Conversion Factor'!$F$4</f>
        <v>0</v>
      </c>
      <c r="AP37" s="156">
        <f>Public_2!AP37*'BTU Conversion Factor'!$F$4</f>
        <v>0</v>
      </c>
      <c r="AQ37" s="156">
        <f>Public_2!AQ37*'BTU Conversion Factor'!$F$4</f>
        <v>0</v>
      </c>
      <c r="AR37" s="156">
        <f>Public_2!AR37*'BTU Conversion Factor'!$F$4</f>
        <v>0</v>
      </c>
      <c r="AS37" s="156">
        <f>Public_2!AS37*'BTU Conversion Factor'!$F$4</f>
        <v>0</v>
      </c>
      <c r="AT37" s="156">
        <f>Public_2!AT37*'BTU Conversion Factor'!$F$4</f>
        <v>0</v>
      </c>
      <c r="AU37" s="156">
        <f>Public_2!AU37*'BTU Conversion Factor'!$F$4</f>
        <v>0</v>
      </c>
    </row>
    <row r="39" spans="1:47" s="58" customFormat="1">
      <c r="A39" s="108" t="s">
        <v>516</v>
      </c>
    </row>
    <row r="40" spans="1:47" s="54" customFormat="1">
      <c r="B40" s="54" t="s">
        <v>481</v>
      </c>
      <c r="C40" s="54">
        <v>2006</v>
      </c>
      <c r="D40" s="54">
        <v>2007</v>
      </c>
      <c r="E40" s="54">
        <v>2008</v>
      </c>
      <c r="F40" s="54">
        <v>2009</v>
      </c>
      <c r="G40" s="54">
        <v>2010</v>
      </c>
      <c r="H40" s="54">
        <v>2011</v>
      </c>
      <c r="I40" s="54">
        <v>2012</v>
      </c>
      <c r="J40" s="54">
        <v>2013</v>
      </c>
      <c r="K40" s="54">
        <v>2014</v>
      </c>
      <c r="L40" s="54">
        <v>2015</v>
      </c>
      <c r="M40" s="54">
        <v>2016</v>
      </c>
      <c r="N40" s="54">
        <v>2017</v>
      </c>
      <c r="O40" s="54">
        <v>2018</v>
      </c>
      <c r="P40" s="54">
        <v>2019</v>
      </c>
      <c r="Q40" s="54">
        <v>2020</v>
      </c>
      <c r="R40" s="54">
        <v>2021</v>
      </c>
      <c r="S40" s="54">
        <v>2022</v>
      </c>
      <c r="T40" s="54">
        <v>2023</v>
      </c>
      <c r="U40" s="54">
        <v>2024</v>
      </c>
      <c r="V40" s="54">
        <v>2025</v>
      </c>
      <c r="W40" s="54">
        <v>2026</v>
      </c>
      <c r="X40" s="54">
        <v>2027</v>
      </c>
      <c r="Y40" s="54">
        <v>2028</v>
      </c>
      <c r="Z40" s="54">
        <v>2029</v>
      </c>
      <c r="AA40" s="54">
        <v>2030</v>
      </c>
      <c r="AB40" s="54">
        <v>2031</v>
      </c>
      <c r="AC40" s="54">
        <v>2032</v>
      </c>
      <c r="AD40" s="54">
        <v>2033</v>
      </c>
      <c r="AE40" s="54">
        <v>2034</v>
      </c>
      <c r="AF40" s="54">
        <v>2035</v>
      </c>
      <c r="AG40" s="54">
        <v>2036</v>
      </c>
      <c r="AH40" s="54">
        <v>2037</v>
      </c>
      <c r="AI40" s="54">
        <v>2038</v>
      </c>
      <c r="AJ40" s="54">
        <v>2039</v>
      </c>
      <c r="AK40" s="54">
        <v>2040</v>
      </c>
      <c r="AL40" s="54">
        <v>2041</v>
      </c>
      <c r="AM40" s="54">
        <v>2042</v>
      </c>
      <c r="AN40" s="54">
        <v>2043</v>
      </c>
      <c r="AO40" s="54">
        <v>2044</v>
      </c>
      <c r="AP40" s="54">
        <v>2045</v>
      </c>
      <c r="AQ40" s="54">
        <v>2046</v>
      </c>
      <c r="AR40" s="54">
        <v>2047</v>
      </c>
      <c r="AS40" s="54">
        <v>2048</v>
      </c>
      <c r="AT40" s="54">
        <v>2049</v>
      </c>
      <c r="AU40" s="54">
        <v>2050</v>
      </c>
    </row>
    <row r="41" spans="1:47">
      <c r="B41" s="54" t="s">
        <v>958</v>
      </c>
      <c r="C41" s="156">
        <f>Public_2!C41*'BTU Conversion Factor'!$F$4</f>
        <v>929364441195.91443</v>
      </c>
      <c r="D41" s="156">
        <f>Public_2!D41*'BTU Conversion Factor'!$F$4</f>
        <v>967570501753.38428</v>
      </c>
      <c r="E41" s="156">
        <f>Public_2!E41*'BTU Conversion Factor'!$F$4</f>
        <v>979479727126.33459</v>
      </c>
      <c r="F41" s="156">
        <f>Public_2!F41*'BTU Conversion Factor'!$F$4</f>
        <v>1126791179350.6624</v>
      </c>
      <c r="G41" s="156">
        <f>Public_2!G41*'BTU Conversion Factor'!$F$4</f>
        <v>728141182731.08899</v>
      </c>
      <c r="H41" s="156">
        <f>Public_2!H41*'BTU Conversion Factor'!$F$4</f>
        <v>842218734969.3252</v>
      </c>
      <c r="I41" s="156">
        <f>Public_2!I41*'BTU Conversion Factor'!$F$4</f>
        <v>1006490429200.6743</v>
      </c>
      <c r="J41" s="156">
        <f>Public_2!J41*'BTU Conversion Factor'!$F$4</f>
        <v>1032818396856.7074</v>
      </c>
      <c r="K41" s="156">
        <f>Public_2!K41*'BTU Conversion Factor'!$F$4</f>
        <v>1170695829551.0999</v>
      </c>
      <c r="L41" s="156">
        <f>Public_2!L41*'BTU Conversion Factor'!$F$4</f>
        <v>1236817405456.3582</v>
      </c>
      <c r="M41" s="156">
        <f>Public_2!M41*'BTU Conversion Factor'!$F$4</f>
        <v>1328912585374.1802</v>
      </c>
      <c r="N41" s="156">
        <f>Public_2!N41*'BTU Conversion Factor'!$F$4</f>
        <v>569863960195.99072</v>
      </c>
      <c r="O41" s="156">
        <f>Public_2!O41*'BTU Conversion Factor'!$F$4</f>
        <v>582069734927.3988</v>
      </c>
      <c r="P41" s="156">
        <f>Public_2!P41*'BTU Conversion Factor'!$F$4</f>
        <v>584908808586.80835</v>
      </c>
      <c r="Q41" s="156">
        <f>Public_2!Q41*'BTU Conversion Factor'!$F$4</f>
        <v>620899045335.50696</v>
      </c>
      <c r="R41" s="156">
        <f>Public_2!R41*'BTU Conversion Factor'!$F$4</f>
        <v>630812288132.75012</v>
      </c>
      <c r="S41" s="156">
        <f>Public_2!S41*'BTU Conversion Factor'!$F$4</f>
        <v>1419835034706.3447</v>
      </c>
      <c r="T41" s="156">
        <f>Public_2!T41*'BTU Conversion Factor'!$F$4</f>
        <v>1464066136949.8181</v>
      </c>
      <c r="U41" s="156">
        <f>Public_2!U41*'BTU Conversion Factor'!$F$4</f>
        <v>1508327889993.1484</v>
      </c>
      <c r="V41" s="156">
        <f>Public_2!V41*'BTU Conversion Factor'!$F$4</f>
        <v>1551746922705.9565</v>
      </c>
      <c r="W41" s="156">
        <f>Public_2!W41*'BTU Conversion Factor'!$F$4</f>
        <v>1596963195755.3127</v>
      </c>
      <c r="X41" s="156">
        <f>Public_2!X41*'BTU Conversion Factor'!$F$4</f>
        <v>1644250326102.3306</v>
      </c>
      <c r="Y41" s="156">
        <f>Public_2!Y41*'BTU Conversion Factor'!$F$4</f>
        <v>1693484119446.3645</v>
      </c>
      <c r="Z41" s="156">
        <f>Public_2!Z41*'BTU Conversion Factor'!$F$4</f>
        <v>1744048798356.2993</v>
      </c>
      <c r="AA41" s="156">
        <f>Public_2!AA41*'BTU Conversion Factor'!$F$4</f>
        <v>1795657904604.4409</v>
      </c>
      <c r="AB41" s="156">
        <f>Public_2!AB41*'BTU Conversion Factor'!$F$4</f>
        <v>1847783044627.241</v>
      </c>
      <c r="AC41" s="156">
        <f>Public_2!AC41*'BTU Conversion Factor'!$F$4</f>
        <v>1900812595136.4258</v>
      </c>
      <c r="AD41" s="156">
        <f>Public_2!AD41*'BTU Conversion Factor'!$F$4</f>
        <v>1954949123106.7424</v>
      </c>
      <c r="AE41" s="156">
        <f>Public_2!AE41*'BTU Conversion Factor'!$F$4</f>
        <v>2010311950580.0161</v>
      </c>
      <c r="AF41" s="156">
        <f>Public_2!AF41*'BTU Conversion Factor'!$F$4</f>
        <v>2067262817138.1218</v>
      </c>
      <c r="AG41" s="156">
        <f>Public_2!AG41*'BTU Conversion Factor'!$F$4</f>
        <v>2123309573414.1702</v>
      </c>
      <c r="AH41" s="156">
        <f>Public_2!AH41*'BTU Conversion Factor'!$F$4</f>
        <v>2180657726989.8628</v>
      </c>
      <c r="AI41" s="156">
        <f>Public_2!AI41*'BTU Conversion Factor'!$F$4</f>
        <v>2238313541471.4517</v>
      </c>
      <c r="AJ41" s="156">
        <f>Public_2!AJ41*'BTU Conversion Factor'!$F$4</f>
        <v>2295871430621.3857</v>
      </c>
      <c r="AK41" s="156">
        <f>Public_2!AK41*'BTU Conversion Factor'!$F$4</f>
        <v>2353267380520.228</v>
      </c>
      <c r="AL41" s="156">
        <f>Public_2!AL41*'BTU Conversion Factor'!$F$4</f>
        <v>2410523475577.5015</v>
      </c>
      <c r="AM41" s="156">
        <f>Public_2!AM41*'BTU Conversion Factor'!$F$4</f>
        <v>2467727370134.4478</v>
      </c>
      <c r="AN41" s="156">
        <f>Public_2!AN41*'BTU Conversion Factor'!$F$4</f>
        <v>2525162650279.0083</v>
      </c>
      <c r="AO41" s="156">
        <f>Public_2!AO41*'BTU Conversion Factor'!$F$4</f>
        <v>2582540897203.665</v>
      </c>
      <c r="AP41" s="156">
        <f>Public_2!AP41*'BTU Conversion Factor'!$F$4</f>
        <v>2639872498266.207</v>
      </c>
      <c r="AQ41" s="156">
        <f>Public_2!AQ41*'BTU Conversion Factor'!$F$4</f>
        <v>2696841953104.2646</v>
      </c>
      <c r="AR41" s="156">
        <f>Public_2!AR41*'BTU Conversion Factor'!$F$4</f>
        <v>2806789548691.7227</v>
      </c>
      <c r="AS41" s="156">
        <f>Public_2!AS41*'BTU Conversion Factor'!$F$4</f>
        <v>2878820172167.6514</v>
      </c>
      <c r="AT41" s="156">
        <f>Public_2!AT41*'BTU Conversion Factor'!$F$4</f>
        <v>2952394948277.8984</v>
      </c>
      <c r="AU41" s="156">
        <f>Public_2!AU41*'BTU Conversion Factor'!$F$4</f>
        <v>3027544003695.043</v>
      </c>
    </row>
    <row r="42" spans="1:47">
      <c r="B42" s="54" t="s">
        <v>959</v>
      </c>
      <c r="C42" s="156">
        <f>Public_2!C42*'BTU Conversion Factor'!$F$4</f>
        <v>0</v>
      </c>
      <c r="D42" s="156">
        <f>Public_2!D42*'BTU Conversion Factor'!$F$4</f>
        <v>0</v>
      </c>
      <c r="E42" s="156">
        <f>Public_2!E42*'BTU Conversion Factor'!$F$4</f>
        <v>0</v>
      </c>
      <c r="F42" s="156">
        <f>Public_2!F42*'BTU Conversion Factor'!$F$4</f>
        <v>0</v>
      </c>
      <c r="G42" s="156">
        <f>Public_2!G42*'BTU Conversion Factor'!$F$4</f>
        <v>0</v>
      </c>
      <c r="H42" s="156">
        <f>Public_2!H42*'BTU Conversion Factor'!$F$4</f>
        <v>0</v>
      </c>
      <c r="I42" s="156">
        <f>Public_2!I42*'BTU Conversion Factor'!$F$4</f>
        <v>0</v>
      </c>
      <c r="J42" s="156">
        <f>Public_2!J42*'BTU Conversion Factor'!$F$4</f>
        <v>0</v>
      </c>
      <c r="K42" s="156">
        <f>Public_2!K42*'BTU Conversion Factor'!$F$4</f>
        <v>0</v>
      </c>
      <c r="L42" s="156">
        <f>Public_2!L42*'BTU Conversion Factor'!$F$4</f>
        <v>0</v>
      </c>
      <c r="M42" s="156">
        <f>Public_2!M42*'BTU Conversion Factor'!$F$4</f>
        <v>0</v>
      </c>
      <c r="N42" s="156">
        <f>Public_2!N42*'BTU Conversion Factor'!$F$4</f>
        <v>0</v>
      </c>
      <c r="O42" s="156">
        <f>Public_2!O42*'BTU Conversion Factor'!$F$4</f>
        <v>0</v>
      </c>
      <c r="P42" s="156">
        <f>Public_2!P42*'BTU Conversion Factor'!$F$4</f>
        <v>0</v>
      </c>
      <c r="Q42" s="156">
        <f>Public_2!Q42*'BTU Conversion Factor'!$F$4</f>
        <v>0</v>
      </c>
      <c r="R42" s="156">
        <f>Public_2!R42*'BTU Conversion Factor'!$F$4</f>
        <v>0</v>
      </c>
      <c r="S42" s="156">
        <f>Public_2!S42*'BTU Conversion Factor'!$F$4</f>
        <v>0</v>
      </c>
      <c r="T42" s="156">
        <f>Public_2!T42*'BTU Conversion Factor'!$F$4</f>
        <v>0</v>
      </c>
      <c r="U42" s="156">
        <f>Public_2!U42*'BTU Conversion Factor'!$F$4</f>
        <v>0</v>
      </c>
      <c r="V42" s="156">
        <f>Public_2!V42*'BTU Conversion Factor'!$F$4</f>
        <v>0</v>
      </c>
      <c r="W42" s="156">
        <f>Public_2!W42*'BTU Conversion Factor'!$F$4</f>
        <v>0</v>
      </c>
      <c r="X42" s="156">
        <f>Public_2!X42*'BTU Conversion Factor'!$F$4</f>
        <v>0</v>
      </c>
      <c r="Y42" s="156">
        <f>Public_2!Y42*'BTU Conversion Factor'!$F$4</f>
        <v>0</v>
      </c>
      <c r="Z42" s="156">
        <f>Public_2!Z42*'BTU Conversion Factor'!$F$4</f>
        <v>0</v>
      </c>
      <c r="AA42" s="156">
        <f>Public_2!AA42*'BTU Conversion Factor'!$F$4</f>
        <v>0</v>
      </c>
      <c r="AB42" s="156">
        <f>Public_2!AB42*'BTU Conversion Factor'!$F$4</f>
        <v>0</v>
      </c>
      <c r="AC42" s="156">
        <f>Public_2!AC42*'BTU Conversion Factor'!$F$4</f>
        <v>0</v>
      </c>
      <c r="AD42" s="156">
        <f>Public_2!AD42*'BTU Conversion Factor'!$F$4</f>
        <v>0</v>
      </c>
      <c r="AE42" s="156">
        <f>Public_2!AE42*'BTU Conversion Factor'!$F$4</f>
        <v>0</v>
      </c>
      <c r="AF42" s="156">
        <f>Public_2!AF42*'BTU Conversion Factor'!$F$4</f>
        <v>0</v>
      </c>
      <c r="AG42" s="156">
        <f>Public_2!AG42*'BTU Conversion Factor'!$F$4</f>
        <v>0</v>
      </c>
      <c r="AH42" s="156">
        <f>Public_2!AH42*'BTU Conversion Factor'!$F$4</f>
        <v>0</v>
      </c>
      <c r="AI42" s="156">
        <f>Public_2!AI42*'BTU Conversion Factor'!$F$4</f>
        <v>0</v>
      </c>
      <c r="AJ42" s="156">
        <f>Public_2!AJ42*'BTU Conversion Factor'!$F$4</f>
        <v>0</v>
      </c>
      <c r="AK42" s="156">
        <f>Public_2!AK42*'BTU Conversion Factor'!$F$4</f>
        <v>0</v>
      </c>
      <c r="AL42" s="156">
        <f>Public_2!AL42*'BTU Conversion Factor'!$F$4</f>
        <v>0</v>
      </c>
      <c r="AM42" s="156">
        <f>Public_2!AM42*'BTU Conversion Factor'!$F$4</f>
        <v>0</v>
      </c>
      <c r="AN42" s="156">
        <f>Public_2!AN42*'BTU Conversion Factor'!$F$4</f>
        <v>0</v>
      </c>
      <c r="AO42" s="156">
        <f>Public_2!AO42*'BTU Conversion Factor'!$F$4</f>
        <v>0</v>
      </c>
      <c r="AP42" s="156">
        <f>Public_2!AP42*'BTU Conversion Factor'!$F$4</f>
        <v>0</v>
      </c>
      <c r="AQ42" s="156">
        <f>Public_2!AQ42*'BTU Conversion Factor'!$F$4</f>
        <v>0</v>
      </c>
      <c r="AR42" s="156">
        <f>Public_2!AR42*'BTU Conversion Factor'!$F$4</f>
        <v>0</v>
      </c>
      <c r="AS42" s="156">
        <f>Public_2!AS42*'BTU Conversion Factor'!$F$4</f>
        <v>0</v>
      </c>
      <c r="AT42" s="156">
        <f>Public_2!AT42*'BTU Conversion Factor'!$F$4</f>
        <v>0</v>
      </c>
      <c r="AU42" s="156">
        <f>Public_2!AU42*'BTU Conversion Factor'!$F$4</f>
        <v>0</v>
      </c>
    </row>
    <row r="43" spans="1:47">
      <c r="B43" s="54" t="s">
        <v>960</v>
      </c>
      <c r="C43" s="156">
        <f>Public_2!C43*'BTU Conversion Factor'!$F$4</f>
        <v>36974566562.500008</v>
      </c>
      <c r="D43" s="156">
        <f>Public_2!D43*'BTU Conversion Factor'!$F$4</f>
        <v>38573559067.514069</v>
      </c>
      <c r="E43" s="156">
        <f>Public_2!E43*'BTU Conversion Factor'!$F$4</f>
        <v>42387980420.94519</v>
      </c>
      <c r="F43" s="156">
        <f>Public_2!F43*'BTU Conversion Factor'!$F$4</f>
        <v>36468266273.062737</v>
      </c>
      <c r="G43" s="156">
        <f>Public_2!G43*'BTU Conversion Factor'!$F$4</f>
        <v>20868827032.38599</v>
      </c>
      <c r="H43" s="156">
        <f>Public_2!H43*'BTU Conversion Factor'!$F$4</f>
        <v>19421585964.912281</v>
      </c>
      <c r="I43" s="156">
        <f>Public_2!I43*'BTU Conversion Factor'!$F$4</f>
        <v>16806560424.418604</v>
      </c>
      <c r="J43" s="156">
        <f>Public_2!J43*'BTU Conversion Factor'!$F$4</f>
        <v>18138570603.798298</v>
      </c>
      <c r="K43" s="156">
        <f>Public_2!K43*'BTU Conversion Factor'!$F$4</f>
        <v>18626531106.738811</v>
      </c>
      <c r="L43" s="156">
        <f>Public_2!L43*'BTU Conversion Factor'!$F$4</f>
        <v>18693068115.209705</v>
      </c>
      <c r="M43" s="156">
        <f>Public_2!M43*'BTU Conversion Factor'!$F$4</f>
        <v>18554135302.855259</v>
      </c>
      <c r="N43" s="156">
        <f>Public_2!N43*'BTU Conversion Factor'!$F$4</f>
        <v>784160789.96463931</v>
      </c>
      <c r="O43" s="156">
        <f>Public_2!O43*'BTU Conversion Factor'!$F$4</f>
        <v>1495135137.7742667</v>
      </c>
      <c r="P43" s="156">
        <f>Public_2!P43*'BTU Conversion Factor'!$F$4</f>
        <v>1554614557.4596429</v>
      </c>
      <c r="Q43" s="156">
        <f>Public_2!Q43*'BTU Conversion Factor'!$F$4</f>
        <v>0</v>
      </c>
      <c r="R43" s="156">
        <f>Public_2!R43*'BTU Conversion Factor'!$F$4</f>
        <v>0</v>
      </c>
      <c r="S43" s="156">
        <f>Public_2!S43*'BTU Conversion Factor'!$F$4</f>
        <v>21993308415.609074</v>
      </c>
      <c r="T43" s="156">
        <f>Public_2!T43*'BTU Conversion Factor'!$F$4</f>
        <v>22833927859.715553</v>
      </c>
      <c r="U43" s="156">
        <f>Public_2!U43*'BTU Conversion Factor'!$F$4</f>
        <v>23666813472.445389</v>
      </c>
      <c r="V43" s="156">
        <f>Public_2!V43*'BTU Conversion Factor'!$F$4</f>
        <v>24476708845.490456</v>
      </c>
      <c r="W43" s="156">
        <f>Public_2!W43*'BTU Conversion Factor'!$F$4</f>
        <v>25303782846.64275</v>
      </c>
      <c r="X43" s="156">
        <f>Public_2!X43*'BTU Conversion Factor'!$F$4</f>
        <v>26151265703.994789</v>
      </c>
      <c r="Y43" s="156">
        <f>Public_2!Y43*'BTU Conversion Factor'!$F$4</f>
        <v>27015978064.940319</v>
      </c>
      <c r="Z43" s="156">
        <f>Public_2!Z43*'BTU Conversion Factor'!$F$4</f>
        <v>27886727990.643696</v>
      </c>
      <c r="AA43" s="156">
        <f>Public_2!AA43*'BTU Conversion Factor'!$F$4</f>
        <v>28757410627.602215</v>
      </c>
      <c r="AB43" s="156">
        <f>Public_2!AB43*'BTU Conversion Factor'!$F$4</f>
        <v>29617945633.921585</v>
      </c>
      <c r="AC43" s="156">
        <f>Public_2!AC43*'BTU Conversion Factor'!$F$4</f>
        <v>30472883023.017925</v>
      </c>
      <c r="AD43" s="156">
        <f>Public_2!AD43*'BTU Conversion Factor'!$F$4</f>
        <v>31323757128.165512</v>
      </c>
      <c r="AE43" s="156">
        <f>Public_2!AE43*'BTU Conversion Factor'!$F$4</f>
        <v>32170703115.600235</v>
      </c>
      <c r="AF43" s="156">
        <f>Public_2!AF43*'BTU Conversion Factor'!$F$4</f>
        <v>33017649153.380493</v>
      </c>
      <c r="AG43" s="156">
        <f>Public_2!AG43*'BTU Conversion Factor'!$F$4</f>
        <v>33822930273.391209</v>
      </c>
      <c r="AH43" s="156">
        <f>Public_2!AH43*'BTU Conversion Factor'!$F$4</f>
        <v>34619899070.114731</v>
      </c>
      <c r="AI43" s="156">
        <f>Public_2!AI43*'BTU Conversion Factor'!$F$4</f>
        <v>35390826144.273293</v>
      </c>
      <c r="AJ43" s="156">
        <f>Public_2!AJ43*'BTU Conversion Factor'!$F$4</f>
        <v>36127462869.843361</v>
      </c>
      <c r="AK43" s="156">
        <f>Public_2!AK43*'BTU Conversion Factor'!$F$4</f>
        <v>36827037998.955475</v>
      </c>
      <c r="AL43" s="156">
        <f>Public_2!AL43*'BTU Conversion Factor'!$F$4</f>
        <v>37488162724.551895</v>
      </c>
      <c r="AM43" s="156">
        <f>Public_2!AM43*'BTU Conversion Factor'!$F$4</f>
        <v>38110474046.171028</v>
      </c>
      <c r="AN43" s="156">
        <f>Public_2!AN43*'BTU Conversion Factor'!$F$4</f>
        <v>38696591059.644066</v>
      </c>
      <c r="AO43" s="156">
        <f>Public_2!AO43*'BTU Conversion Factor'!$F$4</f>
        <v>39240309868.996162</v>
      </c>
      <c r="AP43" s="156">
        <f>Public_2!AP43*'BTU Conversion Factor'!$F$4</f>
        <v>39740084553.091614</v>
      </c>
      <c r="AQ43" s="156">
        <f>Public_2!AQ43*'BTU Conversion Factor'!$F$4</f>
        <v>40189522604.976074</v>
      </c>
      <c r="AR43" s="156">
        <f>Public_2!AR43*'BTU Conversion Factor'!$F$4</f>
        <v>41373362429.558617</v>
      </c>
      <c r="AS43" s="156">
        <f>Public_2!AS43*'BTU Conversion Factor'!$F$4</f>
        <v>41938353934.894493</v>
      </c>
      <c r="AT43" s="156">
        <f>Public_2!AT43*'BTU Conversion Factor'!$F$4</f>
        <v>42469630229.088005</v>
      </c>
      <c r="AU43" s="156">
        <f>Public_2!AU43*'BTU Conversion Factor'!$F$4</f>
        <v>42964603547.926971</v>
      </c>
    </row>
    <row r="44" spans="1:47">
      <c r="B44" s="54" t="s">
        <v>961</v>
      </c>
      <c r="C44" s="156">
        <f>Public_2!C44*'BTU Conversion Factor'!$F$4</f>
        <v>0</v>
      </c>
      <c r="D44" s="156">
        <f>Public_2!D44*'BTU Conversion Factor'!$F$4</f>
        <v>0</v>
      </c>
      <c r="E44" s="156">
        <f>Public_2!E44*'BTU Conversion Factor'!$F$4</f>
        <v>0</v>
      </c>
      <c r="F44" s="156">
        <f>Public_2!F44*'BTU Conversion Factor'!$F$4</f>
        <v>0</v>
      </c>
      <c r="G44" s="156">
        <f>Public_2!G44*'BTU Conversion Factor'!$F$4</f>
        <v>0</v>
      </c>
      <c r="H44" s="156">
        <f>Public_2!H44*'BTU Conversion Factor'!$F$4</f>
        <v>0</v>
      </c>
      <c r="I44" s="156">
        <f>Public_2!I44*'BTU Conversion Factor'!$F$4</f>
        <v>0</v>
      </c>
      <c r="J44" s="156">
        <f>Public_2!J44*'BTU Conversion Factor'!$F$4</f>
        <v>0</v>
      </c>
      <c r="K44" s="156">
        <f>Public_2!K44*'BTU Conversion Factor'!$F$4</f>
        <v>0</v>
      </c>
      <c r="L44" s="156">
        <f>Public_2!L44*'BTU Conversion Factor'!$F$4</f>
        <v>0</v>
      </c>
      <c r="M44" s="156">
        <f>Public_2!M44*'BTU Conversion Factor'!$F$4</f>
        <v>0</v>
      </c>
      <c r="N44" s="156">
        <f>Public_2!N44*'BTU Conversion Factor'!$F$4</f>
        <v>0</v>
      </c>
      <c r="O44" s="156">
        <f>Public_2!O44*'BTU Conversion Factor'!$F$4</f>
        <v>0</v>
      </c>
      <c r="P44" s="156">
        <f>Public_2!P44*'BTU Conversion Factor'!$F$4</f>
        <v>0</v>
      </c>
      <c r="Q44" s="156">
        <f>Public_2!Q44*'BTU Conversion Factor'!$F$4</f>
        <v>0</v>
      </c>
      <c r="R44" s="156">
        <f>Public_2!R44*'BTU Conversion Factor'!$F$4</f>
        <v>0</v>
      </c>
      <c r="S44" s="156">
        <f>Public_2!S44*'BTU Conversion Factor'!$F$4</f>
        <v>0</v>
      </c>
      <c r="T44" s="156">
        <f>Public_2!T44*'BTU Conversion Factor'!$F$4</f>
        <v>0</v>
      </c>
      <c r="U44" s="156">
        <f>Public_2!U44*'BTU Conversion Factor'!$F$4</f>
        <v>0</v>
      </c>
      <c r="V44" s="156">
        <f>Public_2!V44*'BTU Conversion Factor'!$F$4</f>
        <v>0</v>
      </c>
      <c r="W44" s="156">
        <f>Public_2!W44*'BTU Conversion Factor'!$F$4</f>
        <v>0</v>
      </c>
      <c r="X44" s="156">
        <f>Public_2!X44*'BTU Conversion Factor'!$F$4</f>
        <v>0</v>
      </c>
      <c r="Y44" s="156">
        <f>Public_2!Y44*'BTU Conversion Factor'!$F$4</f>
        <v>0</v>
      </c>
      <c r="Z44" s="156">
        <f>Public_2!Z44*'BTU Conversion Factor'!$F$4</f>
        <v>0</v>
      </c>
      <c r="AA44" s="156">
        <f>Public_2!AA44*'BTU Conversion Factor'!$F$4</f>
        <v>0</v>
      </c>
      <c r="AB44" s="156">
        <f>Public_2!AB44*'BTU Conversion Factor'!$F$4</f>
        <v>0</v>
      </c>
      <c r="AC44" s="156">
        <f>Public_2!AC44*'BTU Conversion Factor'!$F$4</f>
        <v>0</v>
      </c>
      <c r="AD44" s="156">
        <f>Public_2!AD44*'BTU Conversion Factor'!$F$4</f>
        <v>0</v>
      </c>
      <c r="AE44" s="156">
        <f>Public_2!AE44*'BTU Conversion Factor'!$F$4</f>
        <v>0</v>
      </c>
      <c r="AF44" s="156">
        <f>Public_2!AF44*'BTU Conversion Factor'!$F$4</f>
        <v>0</v>
      </c>
      <c r="AG44" s="156">
        <f>Public_2!AG44*'BTU Conversion Factor'!$F$4</f>
        <v>0</v>
      </c>
      <c r="AH44" s="156">
        <f>Public_2!AH44*'BTU Conversion Factor'!$F$4</f>
        <v>0</v>
      </c>
      <c r="AI44" s="156">
        <f>Public_2!AI44*'BTU Conversion Factor'!$F$4</f>
        <v>0</v>
      </c>
      <c r="AJ44" s="156">
        <f>Public_2!AJ44*'BTU Conversion Factor'!$F$4</f>
        <v>0</v>
      </c>
      <c r="AK44" s="156">
        <f>Public_2!AK44*'BTU Conversion Factor'!$F$4</f>
        <v>0</v>
      </c>
      <c r="AL44" s="156">
        <f>Public_2!AL44*'BTU Conversion Factor'!$F$4</f>
        <v>0</v>
      </c>
      <c r="AM44" s="156">
        <f>Public_2!AM44*'BTU Conversion Factor'!$F$4</f>
        <v>0</v>
      </c>
      <c r="AN44" s="156">
        <f>Public_2!AN44*'BTU Conversion Factor'!$F$4</f>
        <v>0</v>
      </c>
      <c r="AO44" s="156">
        <f>Public_2!AO44*'BTU Conversion Factor'!$F$4</f>
        <v>0</v>
      </c>
      <c r="AP44" s="156">
        <f>Public_2!AP44*'BTU Conversion Factor'!$F$4</f>
        <v>0</v>
      </c>
      <c r="AQ44" s="156">
        <f>Public_2!AQ44*'BTU Conversion Factor'!$F$4</f>
        <v>0</v>
      </c>
      <c r="AR44" s="156">
        <f>Public_2!AR44*'BTU Conversion Factor'!$F$4</f>
        <v>0</v>
      </c>
      <c r="AS44" s="156">
        <f>Public_2!AS44*'BTU Conversion Factor'!$F$4</f>
        <v>0</v>
      </c>
      <c r="AT44" s="156">
        <f>Public_2!AT44*'BTU Conversion Factor'!$F$4</f>
        <v>0</v>
      </c>
      <c r="AU44" s="156">
        <f>Public_2!AU44*'BTU Conversion Factor'!$F$4</f>
        <v>0</v>
      </c>
    </row>
    <row r="45" spans="1:47">
      <c r="B45" s="54" t="s">
        <v>962</v>
      </c>
      <c r="C45" s="156">
        <f>Public_2!C45*'BTU Conversion Factor'!$F$4</f>
        <v>0</v>
      </c>
      <c r="D45" s="156">
        <f>Public_2!D45*'BTU Conversion Factor'!$F$4</f>
        <v>0</v>
      </c>
      <c r="E45" s="156">
        <f>Public_2!E45*'BTU Conversion Factor'!$F$4</f>
        <v>0</v>
      </c>
      <c r="F45" s="156">
        <f>Public_2!F45*'BTU Conversion Factor'!$F$4</f>
        <v>0</v>
      </c>
      <c r="G45" s="156">
        <f>Public_2!G45*'BTU Conversion Factor'!$F$4</f>
        <v>0</v>
      </c>
      <c r="H45" s="156">
        <f>Public_2!H45*'BTU Conversion Factor'!$F$4</f>
        <v>0</v>
      </c>
      <c r="I45" s="156">
        <f>Public_2!I45*'BTU Conversion Factor'!$F$4</f>
        <v>0</v>
      </c>
      <c r="J45" s="156">
        <f>Public_2!J45*'BTU Conversion Factor'!$F$4</f>
        <v>0</v>
      </c>
      <c r="K45" s="156">
        <f>Public_2!K45*'BTU Conversion Factor'!$F$4</f>
        <v>0</v>
      </c>
      <c r="L45" s="156">
        <f>Public_2!L45*'BTU Conversion Factor'!$F$4</f>
        <v>0</v>
      </c>
      <c r="M45" s="156">
        <f>Public_2!M45*'BTU Conversion Factor'!$F$4</f>
        <v>0</v>
      </c>
      <c r="N45" s="156">
        <f>Public_2!N45*'BTU Conversion Factor'!$F$4</f>
        <v>0</v>
      </c>
      <c r="O45" s="156">
        <f>Public_2!O45*'BTU Conversion Factor'!$F$4</f>
        <v>0</v>
      </c>
      <c r="P45" s="156">
        <f>Public_2!P45*'BTU Conversion Factor'!$F$4</f>
        <v>0</v>
      </c>
      <c r="Q45" s="156">
        <f>Public_2!Q45*'BTU Conversion Factor'!$F$4</f>
        <v>0</v>
      </c>
      <c r="R45" s="156">
        <f>Public_2!R45*'BTU Conversion Factor'!$F$4</f>
        <v>0</v>
      </c>
      <c r="S45" s="156">
        <f>Public_2!S45*'BTU Conversion Factor'!$F$4</f>
        <v>0</v>
      </c>
      <c r="T45" s="156">
        <f>Public_2!T45*'BTU Conversion Factor'!$F$4</f>
        <v>0</v>
      </c>
      <c r="U45" s="156">
        <f>Public_2!U45*'BTU Conversion Factor'!$F$4</f>
        <v>0</v>
      </c>
      <c r="V45" s="156">
        <f>Public_2!V45*'BTU Conversion Factor'!$F$4</f>
        <v>0</v>
      </c>
      <c r="W45" s="156">
        <f>Public_2!W45*'BTU Conversion Factor'!$F$4</f>
        <v>0</v>
      </c>
      <c r="X45" s="156">
        <f>Public_2!X45*'BTU Conversion Factor'!$F$4</f>
        <v>0</v>
      </c>
      <c r="Y45" s="156">
        <f>Public_2!Y45*'BTU Conversion Factor'!$F$4</f>
        <v>0</v>
      </c>
      <c r="Z45" s="156">
        <f>Public_2!Z45*'BTU Conversion Factor'!$F$4</f>
        <v>0</v>
      </c>
      <c r="AA45" s="156">
        <f>Public_2!AA45*'BTU Conversion Factor'!$F$4</f>
        <v>0</v>
      </c>
      <c r="AB45" s="156">
        <f>Public_2!AB45*'BTU Conversion Factor'!$F$4</f>
        <v>0</v>
      </c>
      <c r="AC45" s="156">
        <f>Public_2!AC45*'BTU Conversion Factor'!$F$4</f>
        <v>0</v>
      </c>
      <c r="AD45" s="156">
        <f>Public_2!AD45*'BTU Conversion Factor'!$F$4</f>
        <v>0</v>
      </c>
      <c r="AE45" s="156">
        <f>Public_2!AE45*'BTU Conversion Factor'!$F$4</f>
        <v>0</v>
      </c>
      <c r="AF45" s="156">
        <f>Public_2!AF45*'BTU Conversion Factor'!$F$4</f>
        <v>0</v>
      </c>
      <c r="AG45" s="156">
        <f>Public_2!AG45*'BTU Conversion Factor'!$F$4</f>
        <v>0</v>
      </c>
      <c r="AH45" s="156">
        <f>Public_2!AH45*'BTU Conversion Factor'!$F$4</f>
        <v>0</v>
      </c>
      <c r="AI45" s="156">
        <f>Public_2!AI45*'BTU Conversion Factor'!$F$4</f>
        <v>0</v>
      </c>
      <c r="AJ45" s="156">
        <f>Public_2!AJ45*'BTU Conversion Factor'!$F$4</f>
        <v>0</v>
      </c>
      <c r="AK45" s="156">
        <f>Public_2!AK45*'BTU Conversion Factor'!$F$4</f>
        <v>0</v>
      </c>
      <c r="AL45" s="156">
        <f>Public_2!AL45*'BTU Conversion Factor'!$F$4</f>
        <v>0</v>
      </c>
      <c r="AM45" s="156">
        <f>Public_2!AM45*'BTU Conversion Factor'!$F$4</f>
        <v>0</v>
      </c>
      <c r="AN45" s="156">
        <f>Public_2!AN45*'BTU Conversion Factor'!$F$4</f>
        <v>0</v>
      </c>
      <c r="AO45" s="156">
        <f>Public_2!AO45*'BTU Conversion Factor'!$F$4</f>
        <v>0</v>
      </c>
      <c r="AP45" s="156">
        <f>Public_2!AP45*'BTU Conversion Factor'!$F$4</f>
        <v>0</v>
      </c>
      <c r="AQ45" s="156">
        <f>Public_2!AQ45*'BTU Conversion Factor'!$F$4</f>
        <v>0</v>
      </c>
      <c r="AR45" s="156">
        <f>Public_2!AR45*'BTU Conversion Factor'!$F$4</f>
        <v>0</v>
      </c>
      <c r="AS45" s="156">
        <f>Public_2!AS45*'BTU Conversion Factor'!$F$4</f>
        <v>0</v>
      </c>
      <c r="AT45" s="156">
        <f>Public_2!AT45*'BTU Conversion Factor'!$F$4</f>
        <v>0</v>
      </c>
      <c r="AU45" s="156">
        <f>Public_2!AU45*'BTU Conversion Factor'!$F$4</f>
        <v>0</v>
      </c>
    </row>
    <row r="46" spans="1:47">
      <c r="B46" s="54" t="s">
        <v>963</v>
      </c>
      <c r="C46" s="156">
        <f>Public_2!C46*'BTU Conversion Factor'!$F$4</f>
        <v>0</v>
      </c>
      <c r="D46" s="156">
        <f>Public_2!D46*'BTU Conversion Factor'!$F$4</f>
        <v>0</v>
      </c>
      <c r="E46" s="156">
        <f>Public_2!E46*'BTU Conversion Factor'!$F$4</f>
        <v>0</v>
      </c>
      <c r="F46" s="156">
        <f>Public_2!F46*'BTU Conversion Factor'!$F$4</f>
        <v>0</v>
      </c>
      <c r="G46" s="156">
        <f>Public_2!G46*'BTU Conversion Factor'!$F$4</f>
        <v>0</v>
      </c>
      <c r="H46" s="156">
        <f>Public_2!H46*'BTU Conversion Factor'!$F$4</f>
        <v>0</v>
      </c>
      <c r="I46" s="156">
        <f>Public_2!I46*'BTU Conversion Factor'!$F$4</f>
        <v>0</v>
      </c>
      <c r="J46" s="156">
        <f>Public_2!J46*'BTU Conversion Factor'!$F$4</f>
        <v>0</v>
      </c>
      <c r="K46" s="156">
        <f>Public_2!K46*'BTU Conversion Factor'!$F$4</f>
        <v>0</v>
      </c>
      <c r="L46" s="156">
        <f>Public_2!L46*'BTU Conversion Factor'!$F$4</f>
        <v>0</v>
      </c>
      <c r="M46" s="156">
        <f>Public_2!M46*'BTU Conversion Factor'!$F$4</f>
        <v>0</v>
      </c>
      <c r="N46" s="156">
        <f>Public_2!N46*'BTU Conversion Factor'!$F$4</f>
        <v>0</v>
      </c>
      <c r="O46" s="156">
        <f>Public_2!O46*'BTU Conversion Factor'!$F$4</f>
        <v>0</v>
      </c>
      <c r="P46" s="156">
        <f>Public_2!P46*'BTU Conversion Factor'!$F$4</f>
        <v>0</v>
      </c>
      <c r="Q46" s="156">
        <f>Public_2!Q46*'BTU Conversion Factor'!$F$4</f>
        <v>0</v>
      </c>
      <c r="R46" s="156">
        <f>Public_2!R46*'BTU Conversion Factor'!$F$4</f>
        <v>0</v>
      </c>
      <c r="S46" s="156">
        <f>Public_2!S46*'BTU Conversion Factor'!$F$4</f>
        <v>0</v>
      </c>
      <c r="T46" s="156">
        <f>Public_2!T46*'BTU Conversion Factor'!$F$4</f>
        <v>0</v>
      </c>
      <c r="U46" s="156">
        <f>Public_2!U46*'BTU Conversion Factor'!$F$4</f>
        <v>0</v>
      </c>
      <c r="V46" s="156">
        <f>Public_2!V46*'BTU Conversion Factor'!$F$4</f>
        <v>0</v>
      </c>
      <c r="W46" s="156">
        <f>Public_2!W46*'BTU Conversion Factor'!$F$4</f>
        <v>0</v>
      </c>
      <c r="X46" s="156">
        <f>Public_2!X46*'BTU Conversion Factor'!$F$4</f>
        <v>0</v>
      </c>
      <c r="Y46" s="156">
        <f>Public_2!Y46*'BTU Conversion Factor'!$F$4</f>
        <v>0</v>
      </c>
      <c r="Z46" s="156">
        <f>Public_2!Z46*'BTU Conversion Factor'!$F$4</f>
        <v>0</v>
      </c>
      <c r="AA46" s="156">
        <f>Public_2!AA46*'BTU Conversion Factor'!$F$4</f>
        <v>0</v>
      </c>
      <c r="AB46" s="156">
        <f>Public_2!AB46*'BTU Conversion Factor'!$F$4</f>
        <v>0</v>
      </c>
      <c r="AC46" s="156">
        <f>Public_2!AC46*'BTU Conversion Factor'!$F$4</f>
        <v>0</v>
      </c>
      <c r="AD46" s="156">
        <f>Public_2!AD46*'BTU Conversion Factor'!$F$4</f>
        <v>0</v>
      </c>
      <c r="AE46" s="156">
        <f>Public_2!AE46*'BTU Conversion Factor'!$F$4</f>
        <v>0</v>
      </c>
      <c r="AF46" s="156">
        <f>Public_2!AF46*'BTU Conversion Factor'!$F$4</f>
        <v>0</v>
      </c>
      <c r="AG46" s="156">
        <f>Public_2!AG46*'BTU Conversion Factor'!$F$4</f>
        <v>0</v>
      </c>
      <c r="AH46" s="156">
        <f>Public_2!AH46*'BTU Conversion Factor'!$F$4</f>
        <v>0</v>
      </c>
      <c r="AI46" s="156">
        <f>Public_2!AI46*'BTU Conversion Factor'!$F$4</f>
        <v>0</v>
      </c>
      <c r="AJ46" s="156">
        <f>Public_2!AJ46*'BTU Conversion Factor'!$F$4</f>
        <v>0</v>
      </c>
      <c r="AK46" s="156">
        <f>Public_2!AK46*'BTU Conversion Factor'!$F$4</f>
        <v>0</v>
      </c>
      <c r="AL46" s="156">
        <f>Public_2!AL46*'BTU Conversion Factor'!$F$4</f>
        <v>0</v>
      </c>
      <c r="AM46" s="156">
        <f>Public_2!AM46*'BTU Conversion Factor'!$F$4</f>
        <v>0</v>
      </c>
      <c r="AN46" s="156">
        <f>Public_2!AN46*'BTU Conversion Factor'!$F$4</f>
        <v>0</v>
      </c>
      <c r="AO46" s="156">
        <f>Public_2!AO46*'BTU Conversion Factor'!$F$4</f>
        <v>0</v>
      </c>
      <c r="AP46" s="156">
        <f>Public_2!AP46*'BTU Conversion Factor'!$F$4</f>
        <v>0</v>
      </c>
      <c r="AQ46" s="156">
        <f>Public_2!AQ46*'BTU Conversion Factor'!$F$4</f>
        <v>0</v>
      </c>
      <c r="AR46" s="156">
        <f>Public_2!AR46*'BTU Conversion Factor'!$F$4</f>
        <v>0</v>
      </c>
      <c r="AS46" s="156">
        <f>Public_2!AS46*'BTU Conversion Factor'!$F$4</f>
        <v>0</v>
      </c>
      <c r="AT46" s="156">
        <f>Public_2!AT46*'BTU Conversion Factor'!$F$4</f>
        <v>0</v>
      </c>
      <c r="AU46" s="156">
        <f>Public_2!AU46*'BTU Conversion Factor'!$F$4</f>
        <v>0</v>
      </c>
    </row>
    <row r="47" spans="1:47">
      <c r="C47" t="s">
        <v>964</v>
      </c>
      <c r="D47">
        <v>1055</v>
      </c>
      <c r="E47" t="s">
        <v>965</v>
      </c>
    </row>
    <row r="48" spans="1:47">
      <c r="A48" t="s">
        <v>802</v>
      </c>
      <c r="B48" s="54" t="s">
        <v>966</v>
      </c>
      <c r="C48" s="156">
        <f>SUM(C5:C10)+SUM(C14:C19)+SUM(C23:C28)+SUM(C32:C37)+SUM(C41:C46)</f>
        <v>23663316021899.594</v>
      </c>
      <c r="D48" s="156">
        <f t="shared" ref="D48:AU48" si="0">SUM(D5:D10)+SUM(D14:D19)+SUM(D23:D28)+SUM(D32:D37)+SUM(D41:D46)</f>
        <v>23870343000000</v>
      </c>
      <c r="E48" s="156">
        <f t="shared" si="0"/>
        <v>23958990779469.637</v>
      </c>
      <c r="F48" s="156">
        <f t="shared" si="0"/>
        <v>24707250400000</v>
      </c>
      <c r="G48" s="156">
        <f t="shared" si="0"/>
        <v>15271916177768.281</v>
      </c>
      <c r="H48" s="156">
        <f t="shared" si="0"/>
        <v>16095422343687.441</v>
      </c>
      <c r="I48" s="156">
        <f t="shared" si="0"/>
        <v>15985594800000</v>
      </c>
      <c r="J48" s="156">
        <f t="shared" si="0"/>
        <v>15737076116417.967</v>
      </c>
      <c r="K48" s="156">
        <f t="shared" si="0"/>
        <v>16465468834366.512</v>
      </c>
      <c r="L48" s="156">
        <f t="shared" si="0"/>
        <v>16084978742091.967</v>
      </c>
      <c r="M48" s="156">
        <f t="shared" si="0"/>
        <v>16291875298465.094</v>
      </c>
      <c r="N48" s="156">
        <f t="shared" si="0"/>
        <v>15020282104088.318</v>
      </c>
      <c r="O48" s="156">
        <f t="shared" si="0"/>
        <v>15197929340916.404</v>
      </c>
      <c r="P48" s="156">
        <f t="shared" si="0"/>
        <v>15059715727416.5</v>
      </c>
      <c r="Q48" s="156">
        <f t="shared" si="0"/>
        <v>16268078514212.512</v>
      </c>
      <c r="R48" s="156">
        <f t="shared" si="0"/>
        <v>16461343282660.996</v>
      </c>
      <c r="S48" s="156">
        <f t="shared" si="0"/>
        <v>17692631340109.281</v>
      </c>
      <c r="T48" s="156">
        <f t="shared" si="0"/>
        <v>18221693477885.844</v>
      </c>
      <c r="U48" s="156">
        <f t="shared" si="0"/>
        <v>18749645415285.836</v>
      </c>
      <c r="V48" s="156">
        <f t="shared" si="0"/>
        <v>19265630140321.313</v>
      </c>
      <c r="W48" s="156">
        <f t="shared" si="0"/>
        <v>19802410059302.762</v>
      </c>
      <c r="X48" s="156">
        <f t="shared" si="0"/>
        <v>20363278448679.332</v>
      </c>
      <c r="Y48" s="156">
        <f t="shared" si="0"/>
        <v>20946590090639.93</v>
      </c>
      <c r="Z48" s="156">
        <f t="shared" si="0"/>
        <v>21544633868812.961</v>
      </c>
      <c r="AA48" s="156">
        <f t="shared" si="0"/>
        <v>22153799569713.957</v>
      </c>
      <c r="AB48" s="156">
        <f t="shared" si="0"/>
        <v>22767513590042.508</v>
      </c>
      <c r="AC48" s="156">
        <f t="shared" si="0"/>
        <v>23390517064835.406</v>
      </c>
      <c r="AD48" s="156">
        <f t="shared" si="0"/>
        <v>24025242531389.188</v>
      </c>
      <c r="AE48" s="156">
        <f t="shared" si="0"/>
        <v>24673087408267.453</v>
      </c>
      <c r="AF48" s="156">
        <f t="shared" si="0"/>
        <v>25338412229991.27</v>
      </c>
      <c r="AG48" s="156">
        <f t="shared" si="0"/>
        <v>25990620003410.434</v>
      </c>
      <c r="AH48" s="156">
        <f t="shared" si="0"/>
        <v>26656702051971.641</v>
      </c>
      <c r="AI48" s="156">
        <f t="shared" si="0"/>
        <v>27324449277607.039</v>
      </c>
      <c r="AJ48" s="156">
        <f t="shared" si="0"/>
        <v>27988888353504.863</v>
      </c>
      <c r="AK48" s="156">
        <f t="shared" si="0"/>
        <v>28649231523960.773</v>
      </c>
      <c r="AL48" s="156">
        <f t="shared" si="0"/>
        <v>29305742337656.91</v>
      </c>
      <c r="AM48" s="156">
        <f t="shared" si="0"/>
        <v>29959479199979.285</v>
      </c>
      <c r="AN48" s="156">
        <f t="shared" si="0"/>
        <v>30613870226893.133</v>
      </c>
      <c r="AO48" s="156">
        <f t="shared" si="0"/>
        <v>31265399455442.953</v>
      </c>
      <c r="AP48" s="156">
        <f t="shared" si="0"/>
        <v>31914183167704.852</v>
      </c>
      <c r="AQ48" s="156">
        <f t="shared" si="0"/>
        <v>32556403037908.633</v>
      </c>
      <c r="AR48" s="156">
        <f t="shared" si="0"/>
        <v>33835068452870.391</v>
      </c>
      <c r="AS48" s="156">
        <f t="shared" si="0"/>
        <v>34653268285525.066</v>
      </c>
      <c r="AT48" s="156">
        <f t="shared" si="0"/>
        <v>35487283588130.195</v>
      </c>
      <c r="AU48" s="156">
        <f t="shared" si="0"/>
        <v>36337379967372.414</v>
      </c>
    </row>
    <row r="49" spans="1:47">
      <c r="A49" t="s">
        <v>802</v>
      </c>
      <c r="B49" s="54" t="s">
        <v>784</v>
      </c>
      <c r="C49" s="56">
        <f>C48*$D$47/10^12</f>
        <v>24964.798403104072</v>
      </c>
      <c r="D49" s="56">
        <f t="shared" ref="D49:AU49" si="1">D48*$D$47/10^12</f>
        <v>25183.211865000001</v>
      </c>
      <c r="E49" s="56">
        <f t="shared" si="1"/>
        <v>25276.735272340469</v>
      </c>
      <c r="F49" s="56">
        <f t="shared" si="1"/>
        <v>26066.149172000001</v>
      </c>
      <c r="G49" s="56">
        <f t="shared" si="1"/>
        <v>16111.871567545537</v>
      </c>
      <c r="H49" s="56">
        <f t="shared" si="1"/>
        <v>16980.67057259025</v>
      </c>
      <c r="I49" s="56">
        <f t="shared" si="1"/>
        <v>16864.802513999999</v>
      </c>
      <c r="J49" s="56">
        <f t="shared" si="1"/>
        <v>16602.615302820956</v>
      </c>
      <c r="K49" s="56">
        <f t="shared" si="1"/>
        <v>17371.069620256669</v>
      </c>
      <c r="L49" s="56">
        <f t="shared" si="1"/>
        <v>16969.652572907024</v>
      </c>
      <c r="M49" s="56">
        <f t="shared" si="1"/>
        <v>17187.928439880674</v>
      </c>
      <c r="N49" s="56">
        <f t="shared" si="1"/>
        <v>15846.397619813177</v>
      </c>
      <c r="O49" s="56">
        <f t="shared" si="1"/>
        <v>16033.815454666807</v>
      </c>
      <c r="P49" s="56">
        <f t="shared" si="1"/>
        <v>15888.000092424409</v>
      </c>
      <c r="Q49" s="56">
        <f t="shared" si="1"/>
        <v>17162.822832494199</v>
      </c>
      <c r="R49" s="56">
        <f t="shared" si="1"/>
        <v>17366.717163207351</v>
      </c>
      <c r="S49" s="56">
        <f t="shared" si="1"/>
        <v>18665.726063815291</v>
      </c>
      <c r="T49" s="56">
        <f t="shared" si="1"/>
        <v>19223.886619169563</v>
      </c>
      <c r="U49" s="56">
        <f t="shared" si="1"/>
        <v>19780.875913126554</v>
      </c>
      <c r="V49" s="56">
        <f t="shared" si="1"/>
        <v>20325.239798038983</v>
      </c>
      <c r="W49" s="56">
        <f t="shared" si="1"/>
        <v>20891.542612564412</v>
      </c>
      <c r="X49" s="56">
        <f t="shared" si="1"/>
        <v>21483.258763356695</v>
      </c>
      <c r="Y49" s="56">
        <f t="shared" si="1"/>
        <v>22098.652545625126</v>
      </c>
      <c r="Z49" s="56">
        <f t="shared" si="1"/>
        <v>22729.588731597672</v>
      </c>
      <c r="AA49" s="56">
        <f t="shared" si="1"/>
        <v>23372.258546048222</v>
      </c>
      <c r="AB49" s="56">
        <f t="shared" si="1"/>
        <v>24019.726837494843</v>
      </c>
      <c r="AC49" s="56">
        <f t="shared" si="1"/>
        <v>24676.995503401351</v>
      </c>
      <c r="AD49" s="56">
        <f t="shared" si="1"/>
        <v>25346.630870615591</v>
      </c>
      <c r="AE49" s="56">
        <f t="shared" si="1"/>
        <v>26030.107215722164</v>
      </c>
      <c r="AF49" s="56">
        <f t="shared" si="1"/>
        <v>26732.024902640787</v>
      </c>
      <c r="AG49" s="56">
        <f t="shared" si="1"/>
        <v>27420.104103598009</v>
      </c>
      <c r="AH49" s="56">
        <f t="shared" si="1"/>
        <v>28122.82066483008</v>
      </c>
      <c r="AI49" s="56">
        <f t="shared" si="1"/>
        <v>28827.29398787543</v>
      </c>
      <c r="AJ49" s="56">
        <f t="shared" si="1"/>
        <v>29528.277212947633</v>
      </c>
      <c r="AK49" s="56">
        <f t="shared" si="1"/>
        <v>30224.939257778617</v>
      </c>
      <c r="AL49" s="56">
        <f t="shared" si="1"/>
        <v>30917.558166228038</v>
      </c>
      <c r="AM49" s="56">
        <f t="shared" si="1"/>
        <v>31607.250555978146</v>
      </c>
      <c r="AN49" s="56">
        <f t="shared" si="1"/>
        <v>32297.633089372255</v>
      </c>
      <c r="AO49" s="56">
        <f t="shared" si="1"/>
        <v>32984.996425492318</v>
      </c>
      <c r="AP49" s="56">
        <f t="shared" si="1"/>
        <v>33669.463241928621</v>
      </c>
      <c r="AQ49" s="56">
        <f t="shared" si="1"/>
        <v>34347.005204993606</v>
      </c>
      <c r="AR49" s="56">
        <f t="shared" si="1"/>
        <v>35695.997217778262</v>
      </c>
      <c r="AS49" s="56">
        <f t="shared" si="1"/>
        <v>36559.198041228941</v>
      </c>
      <c r="AT49" s="56">
        <f t="shared" si="1"/>
        <v>37439.084185477361</v>
      </c>
      <c r="AU49" s="56">
        <f t="shared" si="1"/>
        <v>38335.935865577892</v>
      </c>
    </row>
    <row r="50" spans="1:47">
      <c r="A50" t="s">
        <v>779</v>
      </c>
      <c r="B50" s="54" t="s">
        <v>971</v>
      </c>
      <c r="C50">
        <v>2.8148605647058673</v>
      </c>
      <c r="D50">
        <v>2.8620541882352768</v>
      </c>
      <c r="E50">
        <v>2.9092478117647005</v>
      </c>
      <c r="F50">
        <v>2.95644143529411</v>
      </c>
      <c r="G50">
        <v>3.0036350588235194</v>
      </c>
      <c r="H50">
        <v>3.0508286823529289</v>
      </c>
      <c r="I50">
        <v>3.0980223058823384</v>
      </c>
      <c r="J50">
        <v>3.1452159294117479</v>
      </c>
      <c r="K50">
        <v>3.1924095529411716</v>
      </c>
      <c r="L50">
        <v>3.239603176470581</v>
      </c>
      <c r="M50">
        <v>3.2867967999999999</v>
      </c>
      <c r="N50">
        <v>3.3339904235294</v>
      </c>
      <c r="O50">
        <v>3.3811840470588095</v>
      </c>
      <c r="P50">
        <v>3.428377670588219</v>
      </c>
      <c r="Q50">
        <v>3.4755712941176284</v>
      </c>
      <c r="R50">
        <v>3.5227649176470521</v>
      </c>
      <c r="S50">
        <v>3.5699585411764616</v>
      </c>
      <c r="T50">
        <v>3.6171521647058711</v>
      </c>
      <c r="U50">
        <v>3.6643457882352806</v>
      </c>
      <c r="V50">
        <v>3.71153941176469</v>
      </c>
      <c r="W50">
        <v>3.7587330352940995</v>
      </c>
      <c r="X50">
        <v>3.8059266588235232</v>
      </c>
      <c r="Y50">
        <v>3.8531202823529327</v>
      </c>
      <c r="Z50">
        <v>3.9003139058823422</v>
      </c>
      <c r="AA50">
        <v>3.9475075294117516</v>
      </c>
      <c r="AB50">
        <v>3.9947011529411611</v>
      </c>
      <c r="AC50">
        <v>4.0418947764705706</v>
      </c>
      <c r="AD50">
        <v>4.0890883999999943</v>
      </c>
      <c r="AE50">
        <v>4.1362820235294038</v>
      </c>
      <c r="AF50">
        <v>4.1834756470588133</v>
      </c>
      <c r="AG50">
        <v>4.2306692705882227</v>
      </c>
      <c r="AH50">
        <v>4.2778628941176322</v>
      </c>
      <c r="AI50">
        <v>4.3250565176470417</v>
      </c>
      <c r="AJ50">
        <v>4.3722501411764654</v>
      </c>
      <c r="AK50">
        <v>4.4194437647058749</v>
      </c>
      <c r="AL50">
        <v>4.4666373882352843</v>
      </c>
      <c r="AM50">
        <v>4.5138310117646938</v>
      </c>
      <c r="AN50">
        <v>4.5610246352941033</v>
      </c>
      <c r="AO50">
        <v>4.6082182588235128</v>
      </c>
      <c r="AP50">
        <v>4.6554118823529365</v>
      </c>
      <c r="AQ50">
        <v>4.7026055058823459</v>
      </c>
      <c r="AR50">
        <v>4.7497991294117554</v>
      </c>
      <c r="AS50">
        <v>4.7969927529411649</v>
      </c>
      <c r="AT50">
        <v>4.8441863764705744</v>
      </c>
      <c r="AU50">
        <v>4.8913799999999998</v>
      </c>
    </row>
    <row r="51" spans="1:47">
      <c r="A51" s="54" t="s">
        <v>972</v>
      </c>
      <c r="B51" s="54" t="s">
        <v>973</v>
      </c>
      <c r="C51" s="56">
        <f>C49/C50/1000000*10^6</f>
        <v>8868.9289679656704</v>
      </c>
      <c r="D51" s="56">
        <f t="shared" ref="D51:AU51" si="2">D49/D50/1000000*10^6</f>
        <v>8798.9989737153792</v>
      </c>
      <c r="E51" s="56">
        <f t="shared" si="2"/>
        <v>8688.4091379647816</v>
      </c>
      <c r="F51" s="56">
        <f t="shared" si="2"/>
        <v>8816.7311081563548</v>
      </c>
      <c r="G51" s="56">
        <f t="shared" si="2"/>
        <v>5364.1242201562009</v>
      </c>
      <c r="H51" s="56">
        <f t="shared" si="2"/>
        <v>5565.9207187910779</v>
      </c>
      <c r="I51" s="56">
        <f t="shared" si="2"/>
        <v>5443.731790432279</v>
      </c>
      <c r="J51" s="56">
        <f t="shared" si="2"/>
        <v>5278.6885464891293</v>
      </c>
      <c r="K51" s="56">
        <f t="shared" si="2"/>
        <v>5441.3662571121795</v>
      </c>
      <c r="L51" s="56">
        <f t="shared" si="2"/>
        <v>5238.188644880508</v>
      </c>
      <c r="M51" s="56">
        <f t="shared" si="2"/>
        <v>5229.3857776302675</v>
      </c>
      <c r="N51" s="56">
        <f t="shared" si="2"/>
        <v>4752.9823445137554</v>
      </c>
      <c r="O51" s="56">
        <f t="shared" si="2"/>
        <v>4742.0711891191313</v>
      </c>
      <c r="P51" s="56">
        <f t="shared" si="2"/>
        <v>4634.261921819847</v>
      </c>
      <c r="Q51" s="56">
        <f t="shared" si="2"/>
        <v>4938.1299878791478</v>
      </c>
      <c r="R51" s="56">
        <f t="shared" si="2"/>
        <v>4929.8541257209527</v>
      </c>
      <c r="S51" s="56">
        <f t="shared" si="2"/>
        <v>5228.5554155662821</v>
      </c>
      <c r="T51" s="56">
        <f t="shared" si="2"/>
        <v>5314.6469221686048</v>
      </c>
      <c r="U51" s="56">
        <f t="shared" si="2"/>
        <v>5398.2012223395723</v>
      </c>
      <c r="V51" s="56">
        <f t="shared" si="2"/>
        <v>5476.2290098854528</v>
      </c>
      <c r="W51" s="56">
        <f t="shared" si="2"/>
        <v>5558.1341947925193</v>
      </c>
      <c r="X51" s="56">
        <f t="shared" si="2"/>
        <v>5644.6854312209834</v>
      </c>
      <c r="Y51" s="56">
        <f t="shared" si="2"/>
        <v>5735.2615351344393</v>
      </c>
      <c r="Z51" s="56">
        <f t="shared" si="2"/>
        <v>5827.6306164274511</v>
      </c>
      <c r="AA51" s="56">
        <f t="shared" si="2"/>
        <v>5920.7635126489804</v>
      </c>
      <c r="AB51" s="56">
        <f t="shared" si="2"/>
        <v>6012.8970648555132</v>
      </c>
      <c r="AC51" s="56">
        <f t="shared" si="2"/>
        <v>6105.3037914434744</v>
      </c>
      <c r="AD51" s="56">
        <f t="shared" si="2"/>
        <v>6198.6018376652428</v>
      </c>
      <c r="AE51" s="56">
        <f t="shared" si="2"/>
        <v>6293.1171200727777</v>
      </c>
      <c r="AF51" s="56">
        <f t="shared" si="2"/>
        <v>6389.9080950631806</v>
      </c>
      <c r="AG51" s="56">
        <f t="shared" si="2"/>
        <v>6481.2686480183265</v>
      </c>
      <c r="AH51" s="56">
        <f t="shared" si="2"/>
        <v>6574.0350639804219</v>
      </c>
      <c r="AI51" s="56">
        <f t="shared" si="2"/>
        <v>6665.1831878392022</v>
      </c>
      <c r="AJ51" s="56">
        <f t="shared" si="2"/>
        <v>6753.5653861291421</v>
      </c>
      <c r="AK51" s="56">
        <f t="shared" si="2"/>
        <v>6839.0822164449837</v>
      </c>
      <c r="AL51" s="56">
        <f t="shared" si="2"/>
        <v>6921.8867525853047</v>
      </c>
      <c r="AM51" s="56">
        <f t="shared" si="2"/>
        <v>7002.3114453328217</v>
      </c>
      <c r="AN51" s="56">
        <f t="shared" si="2"/>
        <v>7081.2231180351091</v>
      </c>
      <c r="AO51" s="56">
        <f t="shared" si="2"/>
        <v>7157.8633156827627</v>
      </c>
      <c r="AP51" s="56">
        <f t="shared" si="2"/>
        <v>7232.3274702197596</v>
      </c>
      <c r="AQ51" s="56">
        <f t="shared" si="2"/>
        <v>7303.8244781600297</v>
      </c>
      <c r="AR51" s="56">
        <f t="shared" si="2"/>
        <v>7515.2645922942593</v>
      </c>
      <c r="AS51" s="56">
        <f t="shared" si="2"/>
        <v>7621.2743950495897</v>
      </c>
      <c r="AT51" s="56">
        <f t="shared" si="2"/>
        <v>7728.663035619018</v>
      </c>
      <c r="AU51" s="56">
        <f t="shared" si="2"/>
        <v>7837.447891101875</v>
      </c>
    </row>
  </sheetData>
  <phoneticPr fontId="3"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tint="-0.499984740745262"/>
  </sheetPr>
  <dimension ref="A1:AL11"/>
  <sheetViews>
    <sheetView workbookViewId="0">
      <pane xSplit="1" topLeftCell="W1" activePane="topRight" state="frozen"/>
      <selection activeCell="H22" sqref="H22"/>
      <selection pane="topRight" activeCell="A8" sqref="A8:XFD11"/>
    </sheetView>
  </sheetViews>
  <sheetFormatPr defaultColWidth="8.7265625" defaultRowHeight="14.5"/>
  <cols>
    <col min="1" max="1" width="19.7265625" bestFit="1" customWidth="1"/>
  </cols>
  <sheetData>
    <row r="1" spans="1:38" s="54" customFormat="1">
      <c r="A1" s="54" t="s">
        <v>481</v>
      </c>
      <c r="B1" s="54">
        <f>Private_Final!K22</f>
        <v>2014</v>
      </c>
      <c r="C1" s="54">
        <f>Private_Final!L22</f>
        <v>2015</v>
      </c>
      <c r="D1" s="54">
        <f>Private_Final!M22</f>
        <v>2016</v>
      </c>
      <c r="E1" s="54">
        <f>Private_Final!N22</f>
        <v>2017</v>
      </c>
      <c r="F1" s="54">
        <f>Private_Final!O22</f>
        <v>2018</v>
      </c>
      <c r="G1" s="54">
        <f>Private_Final!P22</f>
        <v>2019</v>
      </c>
      <c r="H1" s="54">
        <f>Private_Final!Q22</f>
        <v>2020</v>
      </c>
      <c r="I1" s="54">
        <f>Private_Final!R22</f>
        <v>2021</v>
      </c>
      <c r="J1" s="54">
        <f>Private_Final!S22</f>
        <v>2022</v>
      </c>
      <c r="K1" s="54">
        <f>Private_Final!T22</f>
        <v>2023</v>
      </c>
      <c r="L1" s="54">
        <f>Private_Final!U22</f>
        <v>2024</v>
      </c>
      <c r="M1" s="54">
        <f>Private_Final!V22</f>
        <v>2025</v>
      </c>
      <c r="N1" s="54">
        <f>Private_Final!W22</f>
        <v>2026</v>
      </c>
      <c r="O1" s="54">
        <f>Private_Final!X22</f>
        <v>2027</v>
      </c>
      <c r="P1" s="54">
        <f>Private_Final!Y22</f>
        <v>2028</v>
      </c>
      <c r="Q1" s="54">
        <f>Private_Final!Z22</f>
        <v>2029</v>
      </c>
      <c r="R1" s="54">
        <f>Private_Final!AA22</f>
        <v>2030</v>
      </c>
      <c r="S1" s="54">
        <f>Private_Final!AB22</f>
        <v>2031</v>
      </c>
      <c r="T1" s="54">
        <f>Private_Final!AC22</f>
        <v>2032</v>
      </c>
      <c r="U1" s="54">
        <f>Private_Final!AD22</f>
        <v>2033</v>
      </c>
      <c r="V1" s="54">
        <f>Private_Final!AE22</f>
        <v>2034</v>
      </c>
      <c r="W1" s="54">
        <f>Private_Final!AF22</f>
        <v>2035</v>
      </c>
      <c r="X1" s="54">
        <f>Private_Final!AG22</f>
        <v>2036</v>
      </c>
      <c r="Y1" s="54">
        <f>Private_Final!AH22</f>
        <v>2037</v>
      </c>
      <c r="Z1" s="54">
        <f>Private_Final!AI22</f>
        <v>2038</v>
      </c>
      <c r="AA1" s="54">
        <f>Private_Final!AJ22</f>
        <v>2039</v>
      </c>
      <c r="AB1" s="54">
        <f>Private_Final!AK22</f>
        <v>2040</v>
      </c>
      <c r="AC1" s="54">
        <f>Private_Final!AL22</f>
        <v>2041</v>
      </c>
      <c r="AD1" s="54">
        <f>Private_Final!AM22</f>
        <v>2042</v>
      </c>
      <c r="AE1" s="54">
        <f>Private_Final!AN22</f>
        <v>2043</v>
      </c>
      <c r="AF1" s="54">
        <f>Private_Final!AO22</f>
        <v>2044</v>
      </c>
      <c r="AG1" s="54">
        <f>Private_Final!AP22</f>
        <v>2045</v>
      </c>
      <c r="AH1" s="54">
        <f>Private_Final!AQ22</f>
        <v>2046</v>
      </c>
      <c r="AI1" s="54">
        <f>Private_Final!AR22</f>
        <v>2047</v>
      </c>
      <c r="AJ1" s="54">
        <f>Private_Final!AS22</f>
        <v>2048</v>
      </c>
      <c r="AK1" s="54">
        <f>Private_Final!AT22</f>
        <v>2049</v>
      </c>
      <c r="AL1" s="54">
        <f>Private_Final!AU22</f>
        <v>2050</v>
      </c>
    </row>
    <row r="2" spans="1:38">
      <c r="A2" t="s">
        <v>975</v>
      </c>
      <c r="B2">
        <f>Private_Final!K23</f>
        <v>0</v>
      </c>
      <c r="C2">
        <f>Private_Final!D23</f>
        <v>0</v>
      </c>
      <c r="D2">
        <f>Private_Final!M23</f>
        <v>0</v>
      </c>
      <c r="E2">
        <f>Private_Final!F23</f>
        <v>0</v>
      </c>
      <c r="F2">
        <f>Private_Final!O23</f>
        <v>0</v>
      </c>
      <c r="G2">
        <f>Private_Final!H23</f>
        <v>0</v>
      </c>
      <c r="H2">
        <f>Private_Final!Q23</f>
        <v>0</v>
      </c>
      <c r="I2">
        <f>Private_Final!J23</f>
        <v>0</v>
      </c>
      <c r="J2">
        <f>Private_Final!S23</f>
        <v>0</v>
      </c>
      <c r="K2">
        <f>Private_Final!L23</f>
        <v>0</v>
      </c>
      <c r="L2">
        <f>Private_Final!U23</f>
        <v>0</v>
      </c>
      <c r="M2">
        <f>Private_Final!N23</f>
        <v>0</v>
      </c>
      <c r="N2">
        <f>Private_Final!W23</f>
        <v>0</v>
      </c>
      <c r="O2">
        <f>Private_Final!P23</f>
        <v>0</v>
      </c>
      <c r="P2">
        <f>Private_Final!Y23</f>
        <v>0</v>
      </c>
      <c r="Q2">
        <f>Private_Final!R23</f>
        <v>0</v>
      </c>
      <c r="R2">
        <f>Private_Final!AA23</f>
        <v>0</v>
      </c>
      <c r="S2">
        <f>Private_Final!T23</f>
        <v>0</v>
      </c>
      <c r="T2">
        <f>Private_Final!AC23</f>
        <v>0</v>
      </c>
      <c r="U2">
        <f>Private_Final!V23</f>
        <v>0</v>
      </c>
      <c r="V2">
        <f>Private_Final!AE23</f>
        <v>0</v>
      </c>
      <c r="W2">
        <f>Private_Final!X23</f>
        <v>0</v>
      </c>
      <c r="X2">
        <f>Private_Final!AG23</f>
        <v>0</v>
      </c>
      <c r="Y2">
        <f>Private_Final!Z23</f>
        <v>0</v>
      </c>
      <c r="Z2">
        <f>Private_Final!AI23</f>
        <v>0</v>
      </c>
      <c r="AA2">
        <f>Private_Final!AB23</f>
        <v>0</v>
      </c>
      <c r="AB2">
        <f>Private_Final!AK23</f>
        <v>0</v>
      </c>
      <c r="AC2">
        <f>Private_Final!AD23</f>
        <v>0</v>
      </c>
      <c r="AD2">
        <f>Private_Final!AM23</f>
        <v>0</v>
      </c>
      <c r="AE2">
        <f>Private_Final!AF23</f>
        <v>0</v>
      </c>
      <c r="AF2">
        <f>Private_Final!AO23</f>
        <v>0</v>
      </c>
      <c r="AG2">
        <f>Private_Final!AH23</f>
        <v>0</v>
      </c>
      <c r="AH2">
        <f>Private_Final!AQ23</f>
        <v>0</v>
      </c>
      <c r="AI2">
        <f>Private_Final!AJ23</f>
        <v>0</v>
      </c>
      <c r="AJ2">
        <f>Private_Final!AS23</f>
        <v>0</v>
      </c>
      <c r="AK2">
        <f>Private_Final!AL23</f>
        <v>0</v>
      </c>
      <c r="AL2">
        <f>Private_Final!AU23</f>
        <v>0</v>
      </c>
    </row>
    <row r="3" spans="1:38">
      <c r="A3" t="s">
        <v>976</v>
      </c>
      <c r="B3">
        <f>Private_Final!K24</f>
        <v>0</v>
      </c>
      <c r="C3">
        <f>Private_Final!D24</f>
        <v>0</v>
      </c>
      <c r="D3">
        <f>Private_Final!M24</f>
        <v>0</v>
      </c>
      <c r="E3">
        <f>Private_Final!F24</f>
        <v>0</v>
      </c>
      <c r="F3">
        <f>Private_Final!O24</f>
        <v>0</v>
      </c>
      <c r="G3">
        <f>Private_Final!H24</f>
        <v>0</v>
      </c>
      <c r="H3">
        <f>Private_Final!Q24</f>
        <v>0</v>
      </c>
      <c r="I3">
        <f>Private_Final!J24</f>
        <v>0</v>
      </c>
      <c r="J3">
        <f>Private_Final!S24</f>
        <v>0</v>
      </c>
      <c r="K3">
        <f>Private_Final!L24</f>
        <v>0</v>
      </c>
      <c r="L3">
        <f>Private_Final!U24</f>
        <v>0</v>
      </c>
      <c r="M3">
        <f>Private_Final!N24</f>
        <v>0</v>
      </c>
      <c r="N3">
        <f>Private_Final!W24</f>
        <v>0</v>
      </c>
      <c r="O3">
        <f>Private_Final!P24</f>
        <v>0</v>
      </c>
      <c r="P3">
        <f>Private_Final!Y24</f>
        <v>0</v>
      </c>
      <c r="Q3">
        <f>Private_Final!R24</f>
        <v>0</v>
      </c>
      <c r="R3">
        <f>Private_Final!AA24</f>
        <v>0</v>
      </c>
      <c r="S3">
        <f>Private_Final!T24</f>
        <v>0</v>
      </c>
      <c r="T3">
        <f>Private_Final!AC24</f>
        <v>0</v>
      </c>
      <c r="U3">
        <f>Private_Final!V24</f>
        <v>0</v>
      </c>
      <c r="V3">
        <f>Private_Final!AE24</f>
        <v>0</v>
      </c>
      <c r="W3">
        <f>Private_Final!X24</f>
        <v>0</v>
      </c>
      <c r="X3">
        <f>Private_Final!AG24</f>
        <v>0</v>
      </c>
      <c r="Y3">
        <f>Private_Final!Z24</f>
        <v>0</v>
      </c>
      <c r="Z3">
        <f>Private_Final!AI24</f>
        <v>0</v>
      </c>
      <c r="AA3">
        <f>Private_Final!AB24</f>
        <v>0</v>
      </c>
      <c r="AB3">
        <f>Private_Final!AK24</f>
        <v>0</v>
      </c>
      <c r="AC3">
        <f>Private_Final!AD24</f>
        <v>0</v>
      </c>
      <c r="AD3">
        <f>Private_Final!AM24</f>
        <v>0</v>
      </c>
      <c r="AE3">
        <f>Private_Final!AF24</f>
        <v>0</v>
      </c>
      <c r="AF3">
        <f>Private_Final!AO24</f>
        <v>0</v>
      </c>
      <c r="AG3">
        <f>Private_Final!AH24</f>
        <v>0</v>
      </c>
      <c r="AH3">
        <f>Private_Final!AQ24</f>
        <v>0</v>
      </c>
      <c r="AI3">
        <f>Private_Final!AJ24</f>
        <v>0</v>
      </c>
      <c r="AJ3">
        <f>Private_Final!AS24</f>
        <v>0</v>
      </c>
      <c r="AK3">
        <f>Private_Final!AL24</f>
        <v>0</v>
      </c>
      <c r="AL3">
        <f>Private_Final!AU24</f>
        <v>0</v>
      </c>
    </row>
    <row r="4" spans="1:38">
      <c r="A4" t="s">
        <v>977</v>
      </c>
      <c r="B4">
        <f>Private_Final!K25</f>
        <v>0</v>
      </c>
      <c r="C4">
        <f>Private_Final!D25</f>
        <v>0</v>
      </c>
      <c r="D4">
        <f>Private_Final!M25</f>
        <v>0</v>
      </c>
      <c r="E4">
        <f>Private_Final!F25</f>
        <v>0</v>
      </c>
      <c r="F4">
        <f>Private_Final!O25</f>
        <v>0</v>
      </c>
      <c r="G4">
        <f>Private_Final!H25</f>
        <v>0</v>
      </c>
      <c r="H4">
        <f>Private_Final!Q25</f>
        <v>0</v>
      </c>
      <c r="I4">
        <f>Private_Final!J25</f>
        <v>0</v>
      </c>
      <c r="J4">
        <f>Private_Final!S25</f>
        <v>0</v>
      </c>
      <c r="K4">
        <f>Private_Final!L25</f>
        <v>0</v>
      </c>
      <c r="L4">
        <f>Private_Final!U25</f>
        <v>0</v>
      </c>
      <c r="M4">
        <f>Private_Final!N25</f>
        <v>0</v>
      </c>
      <c r="N4">
        <f>Private_Final!W25</f>
        <v>0</v>
      </c>
      <c r="O4">
        <f>Private_Final!P25</f>
        <v>0</v>
      </c>
      <c r="P4">
        <f>Private_Final!Y25</f>
        <v>0</v>
      </c>
      <c r="Q4">
        <f>Private_Final!R25</f>
        <v>0</v>
      </c>
      <c r="R4">
        <f>Private_Final!AA25</f>
        <v>0</v>
      </c>
      <c r="S4">
        <f>Private_Final!T25</f>
        <v>0</v>
      </c>
      <c r="T4">
        <f>Private_Final!AC25</f>
        <v>0</v>
      </c>
      <c r="U4">
        <f>Private_Final!V25</f>
        <v>0</v>
      </c>
      <c r="V4">
        <f>Private_Final!AE25</f>
        <v>0</v>
      </c>
      <c r="W4">
        <f>Private_Final!X25</f>
        <v>0</v>
      </c>
      <c r="X4">
        <f>Private_Final!AG25</f>
        <v>0</v>
      </c>
      <c r="Y4">
        <f>Private_Final!Z25</f>
        <v>0</v>
      </c>
      <c r="Z4">
        <f>Private_Final!AI25</f>
        <v>0</v>
      </c>
      <c r="AA4">
        <f>Private_Final!AB25</f>
        <v>0</v>
      </c>
      <c r="AB4">
        <f>Private_Final!AK25</f>
        <v>0</v>
      </c>
      <c r="AC4">
        <f>Private_Final!AD25</f>
        <v>0</v>
      </c>
      <c r="AD4">
        <f>Private_Final!AM25</f>
        <v>0</v>
      </c>
      <c r="AE4">
        <f>Private_Final!AF25</f>
        <v>0</v>
      </c>
      <c r="AF4">
        <f>Private_Final!AO25</f>
        <v>0</v>
      </c>
      <c r="AG4">
        <f>Private_Final!AH25</f>
        <v>0</v>
      </c>
      <c r="AH4">
        <f>Private_Final!AQ25</f>
        <v>0</v>
      </c>
      <c r="AI4">
        <f>Private_Final!AJ25</f>
        <v>0</v>
      </c>
      <c r="AJ4">
        <f>Private_Final!AS25</f>
        <v>0</v>
      </c>
      <c r="AK4">
        <f>Private_Final!AL25</f>
        <v>0</v>
      </c>
      <c r="AL4">
        <f>Private_Final!AU25</f>
        <v>0</v>
      </c>
    </row>
    <row r="5" spans="1:38">
      <c r="A5" t="s">
        <v>978</v>
      </c>
      <c r="B5">
        <f>Private_Final!K26</f>
        <v>0</v>
      </c>
      <c r="C5">
        <f>Private_Final!D26</f>
        <v>0</v>
      </c>
      <c r="D5">
        <f>Private_Final!M26</f>
        <v>0</v>
      </c>
      <c r="E5">
        <f>Private_Final!F26</f>
        <v>0</v>
      </c>
      <c r="F5">
        <f>Private_Final!O26</f>
        <v>0</v>
      </c>
      <c r="G5">
        <f>Private_Final!H26</f>
        <v>0</v>
      </c>
      <c r="H5">
        <f>Private_Final!Q26</f>
        <v>0</v>
      </c>
      <c r="I5">
        <f>Private_Final!J26</f>
        <v>0</v>
      </c>
      <c r="J5">
        <f>Private_Final!S26</f>
        <v>0</v>
      </c>
      <c r="K5">
        <f>Private_Final!L26</f>
        <v>0</v>
      </c>
      <c r="L5">
        <f>Private_Final!U26</f>
        <v>0</v>
      </c>
      <c r="M5">
        <f>Private_Final!N26</f>
        <v>0</v>
      </c>
      <c r="N5">
        <f>Private_Final!W26</f>
        <v>0</v>
      </c>
      <c r="O5">
        <f>Private_Final!P26</f>
        <v>0</v>
      </c>
      <c r="P5">
        <f>Private_Final!Y26</f>
        <v>0</v>
      </c>
      <c r="Q5">
        <f>Private_Final!R26</f>
        <v>0</v>
      </c>
      <c r="R5">
        <f>Private_Final!AA26</f>
        <v>0</v>
      </c>
      <c r="S5">
        <f>Private_Final!T26</f>
        <v>0</v>
      </c>
      <c r="T5">
        <f>Private_Final!AC26</f>
        <v>0</v>
      </c>
      <c r="U5">
        <f>Private_Final!V26</f>
        <v>0</v>
      </c>
      <c r="V5">
        <f>Private_Final!AE26</f>
        <v>0</v>
      </c>
      <c r="W5">
        <f>Private_Final!X26</f>
        <v>0</v>
      </c>
      <c r="X5">
        <f>Private_Final!AG26</f>
        <v>0</v>
      </c>
      <c r="Y5">
        <f>Private_Final!Z26</f>
        <v>0</v>
      </c>
      <c r="Z5">
        <f>Private_Final!AI26</f>
        <v>0</v>
      </c>
      <c r="AA5">
        <f>Private_Final!AB26</f>
        <v>0</v>
      </c>
      <c r="AB5">
        <f>Private_Final!AK26</f>
        <v>0</v>
      </c>
      <c r="AC5">
        <f>Private_Final!AD26</f>
        <v>0</v>
      </c>
      <c r="AD5">
        <f>Private_Final!AM26</f>
        <v>0</v>
      </c>
      <c r="AE5">
        <f>Private_Final!AF26</f>
        <v>0</v>
      </c>
      <c r="AF5">
        <f>Private_Final!AO26</f>
        <v>0</v>
      </c>
      <c r="AG5">
        <f>Private_Final!AH26</f>
        <v>0</v>
      </c>
      <c r="AH5">
        <f>Private_Final!AQ26</f>
        <v>0</v>
      </c>
      <c r="AI5">
        <f>Private_Final!AJ26</f>
        <v>0</v>
      </c>
      <c r="AJ5">
        <f>Private_Final!AS26</f>
        <v>0</v>
      </c>
      <c r="AK5">
        <f>Private_Final!AL26</f>
        <v>0</v>
      </c>
      <c r="AL5">
        <f>Private_Final!AU26</f>
        <v>0</v>
      </c>
    </row>
    <row r="6" spans="1:38">
      <c r="A6" t="s">
        <v>979</v>
      </c>
      <c r="B6">
        <f>Private_Final!K27</f>
        <v>0</v>
      </c>
      <c r="C6">
        <f>Private_Final!D27</f>
        <v>0</v>
      </c>
      <c r="D6">
        <f>Private_Final!M27</f>
        <v>0</v>
      </c>
      <c r="E6">
        <f>Private_Final!F27</f>
        <v>0</v>
      </c>
      <c r="F6">
        <f>Private_Final!O27</f>
        <v>0</v>
      </c>
      <c r="G6">
        <f>Private_Final!H27</f>
        <v>0</v>
      </c>
      <c r="H6">
        <f>Private_Final!Q27</f>
        <v>0</v>
      </c>
      <c r="I6">
        <f>Private_Final!J27</f>
        <v>0</v>
      </c>
      <c r="J6">
        <f>Private_Final!S27</f>
        <v>0</v>
      </c>
      <c r="K6">
        <f>Private_Final!L27</f>
        <v>0</v>
      </c>
      <c r="L6">
        <f>Private_Final!U27</f>
        <v>0</v>
      </c>
      <c r="M6">
        <f>Private_Final!N27</f>
        <v>0</v>
      </c>
      <c r="N6">
        <f>Private_Final!W27</f>
        <v>0</v>
      </c>
      <c r="O6">
        <f>Private_Final!P27</f>
        <v>0</v>
      </c>
      <c r="P6">
        <f>Private_Final!Y27</f>
        <v>0</v>
      </c>
      <c r="Q6">
        <f>Private_Final!R27</f>
        <v>0</v>
      </c>
      <c r="R6">
        <f>Private_Final!AA27</f>
        <v>0</v>
      </c>
      <c r="S6">
        <f>Private_Final!T27</f>
        <v>0</v>
      </c>
      <c r="T6">
        <f>Private_Final!AC27</f>
        <v>0</v>
      </c>
      <c r="U6">
        <f>Private_Final!V27</f>
        <v>0</v>
      </c>
      <c r="V6">
        <f>Private_Final!AE27</f>
        <v>0</v>
      </c>
      <c r="W6">
        <f>Private_Final!X27</f>
        <v>0</v>
      </c>
      <c r="X6">
        <f>Private_Final!AG27</f>
        <v>0</v>
      </c>
      <c r="Y6">
        <f>Private_Final!Z27</f>
        <v>0</v>
      </c>
      <c r="Z6">
        <f>Private_Final!AI27</f>
        <v>0</v>
      </c>
      <c r="AA6">
        <f>Private_Final!AB27</f>
        <v>0</v>
      </c>
      <c r="AB6">
        <f>Private_Final!AK27</f>
        <v>0</v>
      </c>
      <c r="AC6">
        <f>Private_Final!AD27</f>
        <v>0</v>
      </c>
      <c r="AD6">
        <f>Private_Final!AM27</f>
        <v>0</v>
      </c>
      <c r="AE6">
        <f>Private_Final!AF27</f>
        <v>0</v>
      </c>
      <c r="AF6">
        <f>Private_Final!AO27</f>
        <v>0</v>
      </c>
      <c r="AG6">
        <f>Private_Final!AH27</f>
        <v>0</v>
      </c>
      <c r="AH6">
        <f>Private_Final!AQ27</f>
        <v>0</v>
      </c>
      <c r="AI6">
        <f>Private_Final!AJ27</f>
        <v>0</v>
      </c>
      <c r="AJ6">
        <f>Private_Final!AS27</f>
        <v>0</v>
      </c>
      <c r="AK6">
        <f>Private_Final!AL27</f>
        <v>0</v>
      </c>
      <c r="AL6">
        <f>Private_Final!AU27</f>
        <v>0</v>
      </c>
    </row>
    <row r="7" spans="1:38">
      <c r="A7" t="s">
        <v>980</v>
      </c>
      <c r="B7">
        <f>Private_Final!K28</f>
        <v>0</v>
      </c>
      <c r="C7">
        <f>Private_Final!D28</f>
        <v>0</v>
      </c>
      <c r="D7">
        <f>Private_Final!M28</f>
        <v>0</v>
      </c>
      <c r="E7">
        <f>Private_Final!F28</f>
        <v>0</v>
      </c>
      <c r="F7">
        <f>Private_Final!O28</f>
        <v>0</v>
      </c>
      <c r="G7">
        <f>Private_Final!H28</f>
        <v>0</v>
      </c>
      <c r="H7">
        <f>Private_Final!Q28</f>
        <v>0</v>
      </c>
      <c r="I7">
        <f>Private_Final!J28</f>
        <v>0</v>
      </c>
      <c r="J7">
        <f>Private_Final!S28</f>
        <v>0</v>
      </c>
      <c r="K7">
        <f>Private_Final!L28</f>
        <v>0</v>
      </c>
      <c r="L7">
        <f>Private_Final!U28</f>
        <v>0</v>
      </c>
      <c r="M7">
        <f>Private_Final!N28</f>
        <v>0</v>
      </c>
      <c r="N7">
        <f>Private_Final!W28</f>
        <v>0</v>
      </c>
      <c r="O7">
        <f>Private_Final!P28</f>
        <v>0</v>
      </c>
      <c r="P7">
        <f>Private_Final!Y28</f>
        <v>0</v>
      </c>
      <c r="Q7">
        <f>Private_Final!R28</f>
        <v>0</v>
      </c>
      <c r="R7">
        <f>Private_Final!AA28</f>
        <v>0</v>
      </c>
      <c r="S7">
        <f>Private_Final!T28</f>
        <v>0</v>
      </c>
      <c r="T7">
        <f>Private_Final!AC28</f>
        <v>0</v>
      </c>
      <c r="U7">
        <f>Private_Final!V28</f>
        <v>0</v>
      </c>
      <c r="V7">
        <f>Private_Final!AE28</f>
        <v>0</v>
      </c>
      <c r="W7">
        <f>Private_Final!X28</f>
        <v>0</v>
      </c>
      <c r="X7">
        <f>Private_Final!AG28</f>
        <v>0</v>
      </c>
      <c r="Y7">
        <f>Private_Final!Z28</f>
        <v>0</v>
      </c>
      <c r="Z7">
        <f>Private_Final!AI28</f>
        <v>0</v>
      </c>
      <c r="AA7">
        <f>Private_Final!AB28</f>
        <v>0</v>
      </c>
      <c r="AB7">
        <f>Private_Final!AK28</f>
        <v>0</v>
      </c>
      <c r="AC7">
        <f>Private_Final!AD28</f>
        <v>0</v>
      </c>
      <c r="AD7">
        <f>Private_Final!AM28</f>
        <v>0</v>
      </c>
      <c r="AE7">
        <f>Private_Final!AF28</f>
        <v>0</v>
      </c>
      <c r="AF7">
        <f>Private_Final!AO28</f>
        <v>0</v>
      </c>
      <c r="AG7">
        <f>Private_Final!AH28</f>
        <v>0</v>
      </c>
      <c r="AH7">
        <f>Private_Final!AQ28</f>
        <v>0</v>
      </c>
      <c r="AI7">
        <f>Private_Final!AJ28</f>
        <v>0</v>
      </c>
      <c r="AJ7">
        <f>Private_Final!AS28</f>
        <v>0</v>
      </c>
      <c r="AK7">
        <f>Private_Final!AL28</f>
        <v>0</v>
      </c>
      <c r="AL7">
        <f>Private_Final!AU28</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defaultColWidth="8.81640625" defaultRowHeight="14.5"/>
  <cols>
    <col min="1" max="1" width="19.7265625" bestFit="1" customWidth="1"/>
  </cols>
  <sheetData>
    <row r="1" spans="1:38" s="54" customFormat="1">
      <c r="A1" s="54" t="s">
        <v>481</v>
      </c>
      <c r="B1" s="54">
        <f>Private_Final!K13</f>
        <v>2014</v>
      </c>
      <c r="C1" s="54">
        <f>Private_Final!L13</f>
        <v>2015</v>
      </c>
      <c r="D1" s="54">
        <f>Private_Final!M13</f>
        <v>2016</v>
      </c>
      <c r="E1" s="54">
        <f>Private_Final!N13</f>
        <v>2017</v>
      </c>
      <c r="F1" s="54">
        <f>Private_Final!O13</f>
        <v>2018</v>
      </c>
      <c r="G1" s="54">
        <f>Private_Final!P13</f>
        <v>2019</v>
      </c>
      <c r="H1" s="54">
        <f>Private_Final!Q13</f>
        <v>2020</v>
      </c>
      <c r="I1" s="54">
        <f>Private_Final!R13</f>
        <v>2021</v>
      </c>
      <c r="J1" s="54">
        <f>Private_Final!S13</f>
        <v>2022</v>
      </c>
      <c r="K1" s="54">
        <f>Private_Final!T13</f>
        <v>2023</v>
      </c>
      <c r="L1" s="54">
        <f>Private_Final!U13</f>
        <v>2024</v>
      </c>
      <c r="M1" s="54">
        <f>Private_Final!V13</f>
        <v>2025</v>
      </c>
      <c r="N1" s="54">
        <f>Private_Final!W13</f>
        <v>2026</v>
      </c>
      <c r="O1" s="54">
        <f>Private_Final!X13</f>
        <v>2027</v>
      </c>
      <c r="P1" s="54">
        <f>Private_Final!Y13</f>
        <v>2028</v>
      </c>
      <c r="Q1" s="54">
        <f>Private_Final!Z13</f>
        <v>2029</v>
      </c>
      <c r="R1" s="54">
        <f>Private_Final!AA13</f>
        <v>2030</v>
      </c>
      <c r="S1" s="54">
        <f>Private_Final!AB13</f>
        <v>2031</v>
      </c>
      <c r="T1" s="54">
        <f>Private_Final!AC13</f>
        <v>2032</v>
      </c>
      <c r="U1" s="54">
        <f>Private_Final!AD13</f>
        <v>2033</v>
      </c>
      <c r="V1" s="54">
        <f>Private_Final!AE13</f>
        <v>2034</v>
      </c>
      <c r="W1" s="54">
        <f>Private_Final!AF13</f>
        <v>2035</v>
      </c>
      <c r="X1" s="54">
        <f>Private_Final!AG13</f>
        <v>2036</v>
      </c>
      <c r="Y1" s="54">
        <f>Private_Final!AH13</f>
        <v>2037</v>
      </c>
      <c r="Z1" s="54">
        <f>Private_Final!AI13</f>
        <v>2038</v>
      </c>
      <c r="AA1" s="54">
        <f>Private_Final!AJ13</f>
        <v>2039</v>
      </c>
      <c r="AB1" s="54">
        <f>Private_Final!AK13</f>
        <v>2040</v>
      </c>
      <c r="AC1" s="54">
        <f>Private_Final!AL13</f>
        <v>2041</v>
      </c>
      <c r="AD1" s="54">
        <f>Private_Final!AM13</f>
        <v>2042</v>
      </c>
      <c r="AE1" s="54">
        <f>Private_Final!AN13</f>
        <v>2043</v>
      </c>
      <c r="AF1" s="54">
        <f>Private_Final!AO13</f>
        <v>2044</v>
      </c>
      <c r="AG1" s="54">
        <f>Private_Final!AP13</f>
        <v>2045</v>
      </c>
      <c r="AH1" s="54">
        <f>Private_Final!AQ13</f>
        <v>2046</v>
      </c>
      <c r="AI1" s="54">
        <f>Private_Final!AR13</f>
        <v>2047</v>
      </c>
      <c r="AJ1" s="54">
        <f>Private_Final!AS13</f>
        <v>2048</v>
      </c>
      <c r="AK1" s="54">
        <f>Private_Final!AT13</f>
        <v>2049</v>
      </c>
      <c r="AL1" s="54">
        <f>Private_Final!AU13</f>
        <v>2050</v>
      </c>
    </row>
    <row r="2" spans="1:38" s="156" customFormat="1">
      <c r="A2" t="s">
        <v>975</v>
      </c>
      <c r="B2">
        <f>Private_Final!K14</f>
        <v>7523981966264.8877</v>
      </c>
      <c r="C2">
        <f>Private_Final!L14</f>
        <v>7265944311202.3447</v>
      </c>
      <c r="D2">
        <f>Private_Final!M14</f>
        <v>7543667642110.4033</v>
      </c>
      <c r="E2">
        <f>Private_Final!N14</f>
        <v>7530327536725.9268</v>
      </c>
      <c r="F2">
        <f>Private_Final!O14</f>
        <v>7539189558874.3984</v>
      </c>
      <c r="G2">
        <f>Private_Final!P14</f>
        <v>7558772557724.7988</v>
      </c>
      <c r="H2">
        <f>Private_Final!Q14</f>
        <v>8585598613816.5264</v>
      </c>
      <c r="I2">
        <f>Private_Final!R14</f>
        <v>8593939786131.3848</v>
      </c>
      <c r="J2">
        <f>Private_Final!S14</f>
        <v>9120951322665.5195</v>
      </c>
      <c r="K2">
        <f>Private_Final!T14</f>
        <v>9383345101997.9355</v>
      </c>
      <c r="L2">
        <f>Private_Final!U14</f>
        <v>9643246091054.625</v>
      </c>
      <c r="M2">
        <f>Private_Final!V14</f>
        <v>9895025386983.709</v>
      </c>
      <c r="N2">
        <f>Private_Final!W14</f>
        <v>10155460776377.994</v>
      </c>
      <c r="O2">
        <f>Private_Final!X14</f>
        <v>10426139786883.334</v>
      </c>
      <c r="P2">
        <f>Private_Final!Y14</f>
        <v>10706109122021.248</v>
      </c>
      <c r="Q2">
        <f>Private_Final!Z14</f>
        <v>10991321385772.902</v>
      </c>
      <c r="R2">
        <f>Private_Final!AA14</f>
        <v>11279843362080.324</v>
      </c>
      <c r="S2">
        <f>Private_Final!AB14</f>
        <v>11568249330197.811</v>
      </c>
      <c r="T2">
        <f>Private_Final!AC14</f>
        <v>11858878392978.85</v>
      </c>
      <c r="U2">
        <f>Private_Final!AD14</f>
        <v>12152881081864.504</v>
      </c>
      <c r="V2">
        <f>Private_Final!AE14</f>
        <v>12450873592996.531</v>
      </c>
      <c r="W2">
        <f>Private_Final!AF14</f>
        <v>12754955814890.055</v>
      </c>
      <c r="X2">
        <f>Private_Final!AG14</f>
        <v>13049652003017.311</v>
      </c>
      <c r="Y2">
        <f>Private_Final!AH14</f>
        <v>13348485268963.693</v>
      </c>
      <c r="Z2">
        <f>Private_Final!AI14</f>
        <v>13645259620765.777</v>
      </c>
      <c r="AA2">
        <f>Private_Final!AJ14</f>
        <v>13937450023537.975</v>
      </c>
      <c r="AB2">
        <f>Private_Final!AK14</f>
        <v>14224640066028.596</v>
      </c>
      <c r="AC2">
        <f>Private_Final!AL14</f>
        <v>14506940986237.748</v>
      </c>
      <c r="AD2">
        <f>Private_Final!AM14</f>
        <v>14784857233541.865</v>
      </c>
      <c r="AE2">
        <f>Private_Final!AN14</f>
        <v>15060054764892.691</v>
      </c>
      <c r="AF2">
        <f>Private_Final!AO14</f>
        <v>15330774742792.689</v>
      </c>
      <c r="AG2">
        <f>Private_Final!AP14</f>
        <v>15597057578682.688</v>
      </c>
      <c r="AH2">
        <f>Private_Final!AQ14</f>
        <v>15857028352308.498</v>
      </c>
      <c r="AI2">
        <f>Private_Final!AR14</f>
        <v>16422795502863.082</v>
      </c>
      <c r="AJ2">
        <f>Private_Final!AS14</f>
        <v>16760524216582.463</v>
      </c>
      <c r="AK2">
        <f>Private_Final!AT14</f>
        <v>17102073251791.854</v>
      </c>
      <c r="AL2">
        <f>Private_Final!AU14</f>
        <v>17447448860404.973</v>
      </c>
    </row>
    <row r="3" spans="1:38" s="156" customFormat="1">
      <c r="A3" t="s">
        <v>976</v>
      </c>
      <c r="B3">
        <f>Private_Final!K15</f>
        <v>0</v>
      </c>
      <c r="C3">
        <f>Private_Final!L15</f>
        <v>0</v>
      </c>
      <c r="D3">
        <f>Private_Final!M15</f>
        <v>0</v>
      </c>
      <c r="E3">
        <f>Private_Final!N15</f>
        <v>0</v>
      </c>
      <c r="F3">
        <f>Private_Final!O15</f>
        <v>0</v>
      </c>
      <c r="G3">
        <f>Private_Final!P15</f>
        <v>0</v>
      </c>
      <c r="H3">
        <f>Private_Final!Q15</f>
        <v>0</v>
      </c>
      <c r="I3">
        <f>Private_Final!R15</f>
        <v>0</v>
      </c>
      <c r="J3">
        <f>Private_Final!S15</f>
        <v>0</v>
      </c>
      <c r="K3">
        <f>Private_Final!T15</f>
        <v>0</v>
      </c>
      <c r="L3">
        <f>Private_Final!U15</f>
        <v>0</v>
      </c>
      <c r="M3">
        <f>Private_Final!V15</f>
        <v>0</v>
      </c>
      <c r="N3">
        <f>Private_Final!W15</f>
        <v>0</v>
      </c>
      <c r="O3">
        <f>Private_Final!X15</f>
        <v>0</v>
      </c>
      <c r="P3">
        <f>Private_Final!Y15</f>
        <v>0</v>
      </c>
      <c r="Q3">
        <f>Private_Final!Z15</f>
        <v>0</v>
      </c>
      <c r="R3">
        <f>Private_Final!AA15</f>
        <v>0</v>
      </c>
      <c r="S3">
        <f>Private_Final!AB15</f>
        <v>0</v>
      </c>
      <c r="T3">
        <f>Private_Final!AC15</f>
        <v>0</v>
      </c>
      <c r="U3">
        <f>Private_Final!AD15</f>
        <v>0</v>
      </c>
      <c r="V3">
        <f>Private_Final!AE15</f>
        <v>0</v>
      </c>
      <c r="W3">
        <f>Private_Final!AF15</f>
        <v>0</v>
      </c>
      <c r="X3">
        <f>Private_Final!AG15</f>
        <v>0</v>
      </c>
      <c r="Y3">
        <f>Private_Final!AH15</f>
        <v>0</v>
      </c>
      <c r="Z3">
        <f>Private_Final!AI15</f>
        <v>0</v>
      </c>
      <c r="AA3">
        <f>Private_Final!AJ15</f>
        <v>0</v>
      </c>
      <c r="AB3">
        <f>Private_Final!AK15</f>
        <v>0</v>
      </c>
      <c r="AC3">
        <f>Private_Final!AL15</f>
        <v>0</v>
      </c>
      <c r="AD3">
        <f>Private_Final!AM15</f>
        <v>0</v>
      </c>
      <c r="AE3">
        <f>Private_Final!AN15</f>
        <v>0</v>
      </c>
      <c r="AF3">
        <f>Private_Final!AO15</f>
        <v>0</v>
      </c>
      <c r="AG3">
        <f>Private_Final!AP15</f>
        <v>0</v>
      </c>
      <c r="AH3">
        <f>Private_Final!AQ15</f>
        <v>0</v>
      </c>
      <c r="AI3">
        <f>Private_Final!AR15</f>
        <v>0</v>
      </c>
      <c r="AJ3">
        <f>Private_Final!AS15</f>
        <v>0</v>
      </c>
      <c r="AK3">
        <f>Private_Final!AT15</f>
        <v>0</v>
      </c>
      <c r="AL3">
        <f>Private_Final!AU15</f>
        <v>0</v>
      </c>
    </row>
    <row r="4" spans="1:38" s="156" customFormat="1">
      <c r="A4" t="s">
        <v>977</v>
      </c>
      <c r="B4">
        <f>Private_Final!K16</f>
        <v>0</v>
      </c>
      <c r="C4">
        <f>Private_Final!L16</f>
        <v>0</v>
      </c>
      <c r="D4">
        <f>Private_Final!M16</f>
        <v>0</v>
      </c>
      <c r="E4">
        <f>Private_Final!N16</f>
        <v>0</v>
      </c>
      <c r="F4">
        <f>Private_Final!O16</f>
        <v>0</v>
      </c>
      <c r="G4">
        <f>Private_Final!P16</f>
        <v>0</v>
      </c>
      <c r="H4">
        <f>Private_Final!Q16</f>
        <v>0</v>
      </c>
      <c r="I4">
        <f>Private_Final!R16</f>
        <v>0</v>
      </c>
      <c r="J4">
        <f>Private_Final!S16</f>
        <v>0</v>
      </c>
      <c r="K4">
        <f>Private_Final!T16</f>
        <v>0</v>
      </c>
      <c r="L4">
        <f>Private_Final!U16</f>
        <v>0</v>
      </c>
      <c r="M4">
        <f>Private_Final!V16</f>
        <v>0</v>
      </c>
      <c r="N4">
        <f>Private_Final!W16</f>
        <v>0</v>
      </c>
      <c r="O4">
        <f>Private_Final!X16</f>
        <v>0</v>
      </c>
      <c r="P4">
        <f>Private_Final!Y16</f>
        <v>0</v>
      </c>
      <c r="Q4">
        <f>Private_Final!Z16</f>
        <v>0</v>
      </c>
      <c r="R4">
        <f>Private_Final!AA16</f>
        <v>0</v>
      </c>
      <c r="S4">
        <f>Private_Final!AB16</f>
        <v>0</v>
      </c>
      <c r="T4">
        <f>Private_Final!AC16</f>
        <v>0</v>
      </c>
      <c r="U4">
        <f>Private_Final!AD16</f>
        <v>0</v>
      </c>
      <c r="V4">
        <f>Private_Final!AE16</f>
        <v>0</v>
      </c>
      <c r="W4">
        <f>Private_Final!AF16</f>
        <v>0</v>
      </c>
      <c r="X4">
        <f>Private_Final!AG16</f>
        <v>0</v>
      </c>
      <c r="Y4">
        <f>Private_Final!AH16</f>
        <v>0</v>
      </c>
      <c r="Z4">
        <f>Private_Final!AI16</f>
        <v>0</v>
      </c>
      <c r="AA4">
        <f>Private_Final!AJ16</f>
        <v>0</v>
      </c>
      <c r="AB4">
        <f>Private_Final!AK16</f>
        <v>0</v>
      </c>
      <c r="AC4">
        <f>Private_Final!AL16</f>
        <v>0</v>
      </c>
      <c r="AD4">
        <f>Private_Final!AM16</f>
        <v>0</v>
      </c>
      <c r="AE4">
        <f>Private_Final!AN16</f>
        <v>0</v>
      </c>
      <c r="AF4">
        <f>Private_Final!AO16</f>
        <v>0</v>
      </c>
      <c r="AG4">
        <f>Private_Final!AP16</f>
        <v>0</v>
      </c>
      <c r="AH4">
        <f>Private_Final!AQ16</f>
        <v>0</v>
      </c>
      <c r="AI4">
        <f>Private_Final!AR16</f>
        <v>0</v>
      </c>
      <c r="AJ4">
        <f>Private_Final!AS16</f>
        <v>0</v>
      </c>
      <c r="AK4">
        <f>Private_Final!AT16</f>
        <v>0</v>
      </c>
      <c r="AL4">
        <f>Private_Final!AU16</f>
        <v>0</v>
      </c>
    </row>
    <row r="5" spans="1:38" s="156" customFormat="1">
      <c r="A5" t="s">
        <v>978</v>
      </c>
      <c r="B5">
        <f>Private_Final!K17</f>
        <v>0</v>
      </c>
      <c r="C5">
        <f>Private_Final!L17</f>
        <v>0</v>
      </c>
      <c r="D5">
        <f>Private_Final!M17</f>
        <v>0</v>
      </c>
      <c r="E5">
        <f>Private_Final!N17</f>
        <v>0</v>
      </c>
      <c r="F5">
        <f>Private_Final!O17</f>
        <v>0</v>
      </c>
      <c r="G5">
        <f>Private_Final!P17</f>
        <v>0</v>
      </c>
      <c r="H5">
        <f>Private_Final!Q17</f>
        <v>0</v>
      </c>
      <c r="I5">
        <f>Private_Final!R17</f>
        <v>0</v>
      </c>
      <c r="J5">
        <f>Private_Final!S17</f>
        <v>0</v>
      </c>
      <c r="K5">
        <f>Private_Final!T17</f>
        <v>0</v>
      </c>
      <c r="L5">
        <f>Private_Final!U17</f>
        <v>0</v>
      </c>
      <c r="M5">
        <f>Private_Final!V17</f>
        <v>0</v>
      </c>
      <c r="N5">
        <f>Private_Final!W17</f>
        <v>0</v>
      </c>
      <c r="O5">
        <f>Private_Final!X17</f>
        <v>0</v>
      </c>
      <c r="P5">
        <f>Private_Final!Y17</f>
        <v>0</v>
      </c>
      <c r="Q5">
        <f>Private_Final!Z17</f>
        <v>0</v>
      </c>
      <c r="R5">
        <f>Private_Final!AA17</f>
        <v>0</v>
      </c>
      <c r="S5">
        <f>Private_Final!AB17</f>
        <v>0</v>
      </c>
      <c r="T5">
        <f>Private_Final!AC17</f>
        <v>0</v>
      </c>
      <c r="U5">
        <f>Private_Final!AD17</f>
        <v>0</v>
      </c>
      <c r="V5">
        <f>Private_Final!AE17</f>
        <v>0</v>
      </c>
      <c r="W5">
        <f>Private_Final!AF17</f>
        <v>0</v>
      </c>
      <c r="X5">
        <f>Private_Final!AG17</f>
        <v>0</v>
      </c>
      <c r="Y5">
        <f>Private_Final!AH17</f>
        <v>0</v>
      </c>
      <c r="Z5">
        <f>Private_Final!AI17</f>
        <v>0</v>
      </c>
      <c r="AA5">
        <f>Private_Final!AJ17</f>
        <v>0</v>
      </c>
      <c r="AB5">
        <f>Private_Final!AK17</f>
        <v>0</v>
      </c>
      <c r="AC5">
        <f>Private_Final!AL17</f>
        <v>0</v>
      </c>
      <c r="AD5">
        <f>Private_Final!AM17</f>
        <v>0</v>
      </c>
      <c r="AE5">
        <f>Private_Final!AN17</f>
        <v>0</v>
      </c>
      <c r="AF5">
        <f>Private_Final!AO17</f>
        <v>0</v>
      </c>
      <c r="AG5">
        <f>Private_Final!AP17</f>
        <v>0</v>
      </c>
      <c r="AH5">
        <f>Private_Final!AQ17</f>
        <v>0</v>
      </c>
      <c r="AI5">
        <f>Private_Final!AR17</f>
        <v>0</v>
      </c>
      <c r="AJ5">
        <f>Private_Final!AS17</f>
        <v>0</v>
      </c>
      <c r="AK5">
        <f>Private_Final!AT17</f>
        <v>0</v>
      </c>
      <c r="AL5">
        <f>Private_Final!AU17</f>
        <v>0</v>
      </c>
    </row>
    <row r="6" spans="1:38" s="156" customFormat="1">
      <c r="A6" t="s">
        <v>979</v>
      </c>
      <c r="B6">
        <f>Private_Final!K18</f>
        <v>0</v>
      </c>
      <c r="C6">
        <f>Private_Final!L18</f>
        <v>0</v>
      </c>
      <c r="D6">
        <f>Private_Final!M18</f>
        <v>0</v>
      </c>
      <c r="E6">
        <f>Private_Final!N18</f>
        <v>0</v>
      </c>
      <c r="F6">
        <f>Private_Final!O18</f>
        <v>0</v>
      </c>
      <c r="G6">
        <f>Private_Final!P18</f>
        <v>0</v>
      </c>
      <c r="H6">
        <f>Private_Final!Q18</f>
        <v>0</v>
      </c>
      <c r="I6">
        <f>Private_Final!R18</f>
        <v>0</v>
      </c>
      <c r="J6">
        <f>Private_Final!S18</f>
        <v>0</v>
      </c>
      <c r="K6">
        <f>Private_Final!T18</f>
        <v>0</v>
      </c>
      <c r="L6">
        <f>Private_Final!U18</f>
        <v>0</v>
      </c>
      <c r="M6">
        <f>Private_Final!V18</f>
        <v>0</v>
      </c>
      <c r="N6">
        <f>Private_Final!W18</f>
        <v>0</v>
      </c>
      <c r="O6">
        <f>Private_Final!X18</f>
        <v>0</v>
      </c>
      <c r="P6">
        <f>Private_Final!Y18</f>
        <v>0</v>
      </c>
      <c r="Q6">
        <f>Private_Final!Z18</f>
        <v>0</v>
      </c>
      <c r="R6">
        <f>Private_Final!AA18</f>
        <v>0</v>
      </c>
      <c r="S6">
        <f>Private_Final!AB18</f>
        <v>0</v>
      </c>
      <c r="T6">
        <f>Private_Final!AC18</f>
        <v>0</v>
      </c>
      <c r="U6">
        <f>Private_Final!AD18</f>
        <v>0</v>
      </c>
      <c r="V6">
        <f>Private_Final!AE18</f>
        <v>0</v>
      </c>
      <c r="W6">
        <f>Private_Final!AF18</f>
        <v>0</v>
      </c>
      <c r="X6">
        <f>Private_Final!AG18</f>
        <v>0</v>
      </c>
      <c r="Y6">
        <f>Private_Final!AH18</f>
        <v>0</v>
      </c>
      <c r="Z6">
        <f>Private_Final!AI18</f>
        <v>0</v>
      </c>
      <c r="AA6">
        <f>Private_Final!AJ18</f>
        <v>0</v>
      </c>
      <c r="AB6">
        <f>Private_Final!AK18</f>
        <v>0</v>
      </c>
      <c r="AC6">
        <f>Private_Final!AL18</f>
        <v>0</v>
      </c>
      <c r="AD6">
        <f>Private_Final!AM18</f>
        <v>0</v>
      </c>
      <c r="AE6">
        <f>Private_Final!AN18</f>
        <v>0</v>
      </c>
      <c r="AF6">
        <f>Private_Final!AO18</f>
        <v>0</v>
      </c>
      <c r="AG6">
        <f>Private_Final!AP18</f>
        <v>0</v>
      </c>
      <c r="AH6">
        <f>Private_Final!AQ18</f>
        <v>0</v>
      </c>
      <c r="AI6">
        <f>Private_Final!AR18</f>
        <v>0</v>
      </c>
      <c r="AJ6">
        <f>Private_Final!AS18</f>
        <v>0</v>
      </c>
      <c r="AK6">
        <f>Private_Final!AT18</f>
        <v>0</v>
      </c>
      <c r="AL6">
        <f>Private_Final!AU18</f>
        <v>0</v>
      </c>
    </row>
    <row r="7" spans="1:38" s="156" customFormat="1">
      <c r="A7" t="s">
        <v>980</v>
      </c>
      <c r="B7">
        <f>Private_Final!K19</f>
        <v>0</v>
      </c>
      <c r="C7">
        <f>Private_Final!L19</f>
        <v>0</v>
      </c>
      <c r="D7">
        <f>Private_Final!M19</f>
        <v>0</v>
      </c>
      <c r="E7">
        <f>Private_Final!N19</f>
        <v>0</v>
      </c>
      <c r="F7">
        <f>Private_Final!O19</f>
        <v>0</v>
      </c>
      <c r="G7">
        <f>Private_Final!P19</f>
        <v>0</v>
      </c>
      <c r="H7">
        <f>Private_Final!Q19</f>
        <v>0</v>
      </c>
      <c r="I7">
        <f>Private_Final!R19</f>
        <v>0</v>
      </c>
      <c r="J7">
        <f>Private_Final!S19</f>
        <v>0</v>
      </c>
      <c r="K7">
        <f>Private_Final!T19</f>
        <v>0</v>
      </c>
      <c r="L7">
        <f>Private_Final!U19</f>
        <v>0</v>
      </c>
      <c r="M7">
        <f>Private_Final!V19</f>
        <v>0</v>
      </c>
      <c r="N7">
        <f>Private_Final!W19</f>
        <v>0</v>
      </c>
      <c r="O7">
        <f>Private_Final!X19</f>
        <v>0</v>
      </c>
      <c r="P7">
        <f>Private_Final!Y19</f>
        <v>0</v>
      </c>
      <c r="Q7">
        <f>Private_Final!Z19</f>
        <v>0</v>
      </c>
      <c r="R7">
        <f>Private_Final!AA19</f>
        <v>0</v>
      </c>
      <c r="S7">
        <f>Private_Final!AB19</f>
        <v>0</v>
      </c>
      <c r="T7">
        <f>Private_Final!AC19</f>
        <v>0</v>
      </c>
      <c r="U7">
        <f>Private_Final!AD19</f>
        <v>0</v>
      </c>
      <c r="V7">
        <f>Private_Final!AE19</f>
        <v>0</v>
      </c>
      <c r="W7">
        <f>Private_Final!AF19</f>
        <v>0</v>
      </c>
      <c r="X7">
        <f>Private_Final!AG19</f>
        <v>0</v>
      </c>
      <c r="Y7">
        <f>Private_Final!AH19</f>
        <v>0</v>
      </c>
      <c r="Z7">
        <f>Private_Final!AI19</f>
        <v>0</v>
      </c>
      <c r="AA7">
        <f>Private_Final!AJ19</f>
        <v>0</v>
      </c>
      <c r="AB7">
        <f>Private_Final!AK19</f>
        <v>0</v>
      </c>
      <c r="AC7">
        <f>Private_Final!AL19</f>
        <v>0</v>
      </c>
      <c r="AD7">
        <f>Private_Final!AM19</f>
        <v>0</v>
      </c>
      <c r="AE7">
        <f>Private_Final!AN19</f>
        <v>0</v>
      </c>
      <c r="AF7">
        <f>Private_Final!AO19</f>
        <v>0</v>
      </c>
      <c r="AG7">
        <f>Private_Final!AP19</f>
        <v>0</v>
      </c>
      <c r="AH7">
        <f>Private_Final!AQ19</f>
        <v>0</v>
      </c>
      <c r="AI7">
        <f>Private_Final!AR19</f>
        <v>0</v>
      </c>
      <c r="AJ7">
        <f>Private_Final!AS19</f>
        <v>0</v>
      </c>
      <c r="AK7">
        <f>Private_Final!AT19</f>
        <v>0</v>
      </c>
      <c r="AL7">
        <f>Private_Final!AU19</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defaultColWidth="8.81640625" defaultRowHeight="14.5"/>
  <cols>
    <col min="1" max="1" width="19.7265625" bestFit="1" customWidth="1"/>
  </cols>
  <sheetData>
    <row r="1" spans="1:38" s="54" customFormat="1">
      <c r="A1" s="54" t="str">
        <f>Private_Final!B4</f>
        <v>Year</v>
      </c>
      <c r="B1" s="54">
        <f>Private_Final!K4</f>
        <v>2014</v>
      </c>
      <c r="C1" s="54">
        <f>Private_Final!L4</f>
        <v>2015</v>
      </c>
      <c r="D1" s="54">
        <f>Private_Final!M4</f>
        <v>2016</v>
      </c>
      <c r="E1" s="54">
        <f>Private_Final!N4</f>
        <v>2017</v>
      </c>
      <c r="F1" s="54">
        <f>Private_Final!O4</f>
        <v>2018</v>
      </c>
      <c r="G1" s="54">
        <f>Private_Final!P4</f>
        <v>2019</v>
      </c>
      <c r="H1" s="54">
        <f>Private_Final!Q4</f>
        <v>2020</v>
      </c>
      <c r="I1" s="54">
        <f>Private_Final!R4</f>
        <v>2021</v>
      </c>
      <c r="J1" s="54">
        <f>Private_Final!S4</f>
        <v>2022</v>
      </c>
      <c r="K1" s="54">
        <f>Private_Final!T4</f>
        <v>2023</v>
      </c>
      <c r="L1" s="54">
        <f>Private_Final!U4</f>
        <v>2024</v>
      </c>
      <c r="M1" s="54">
        <f>Private_Final!V4</f>
        <v>2025</v>
      </c>
      <c r="N1" s="54">
        <f>Private_Final!W4</f>
        <v>2026</v>
      </c>
      <c r="O1" s="54">
        <f>Private_Final!X4</f>
        <v>2027</v>
      </c>
      <c r="P1" s="54">
        <f>Private_Final!Y4</f>
        <v>2028</v>
      </c>
      <c r="Q1" s="54">
        <f>Private_Final!Z4</f>
        <v>2029</v>
      </c>
      <c r="R1" s="54">
        <f>Private_Final!AA4</f>
        <v>2030</v>
      </c>
      <c r="S1" s="54">
        <f>Private_Final!AB4</f>
        <v>2031</v>
      </c>
      <c r="T1" s="54">
        <f>Private_Final!AC4</f>
        <v>2032</v>
      </c>
      <c r="U1" s="54">
        <f>Private_Final!AD4</f>
        <v>2033</v>
      </c>
      <c r="V1" s="54">
        <f>Private_Final!AE4</f>
        <v>2034</v>
      </c>
      <c r="W1" s="54">
        <f>Private_Final!AF4</f>
        <v>2035</v>
      </c>
      <c r="X1" s="54">
        <f>Private_Final!AG4</f>
        <v>2036</v>
      </c>
      <c r="Y1" s="54">
        <f>Private_Final!AH4</f>
        <v>2037</v>
      </c>
      <c r="Z1" s="54">
        <f>Private_Final!AI4</f>
        <v>2038</v>
      </c>
      <c r="AA1" s="54">
        <f>Private_Final!AJ4</f>
        <v>2039</v>
      </c>
      <c r="AB1" s="54">
        <f>Private_Final!AK4</f>
        <v>2040</v>
      </c>
      <c r="AC1" s="54">
        <f>Private_Final!AL4</f>
        <v>2041</v>
      </c>
      <c r="AD1" s="54">
        <f>Private_Final!AM4</f>
        <v>2042</v>
      </c>
      <c r="AE1" s="54">
        <f>Private_Final!AN4</f>
        <v>2043</v>
      </c>
      <c r="AF1" s="54">
        <f>Private_Final!AO4</f>
        <v>2044</v>
      </c>
      <c r="AG1" s="54">
        <f>Private_Final!AP4</f>
        <v>2045</v>
      </c>
      <c r="AH1" s="54">
        <f>Private_Final!AQ4</f>
        <v>2046</v>
      </c>
      <c r="AI1" s="54">
        <f>Private_Final!AR4</f>
        <v>2047</v>
      </c>
      <c r="AJ1" s="54">
        <f>Private_Final!AS4</f>
        <v>2048</v>
      </c>
      <c r="AK1" s="54">
        <f>Private_Final!AT4</f>
        <v>2049</v>
      </c>
      <c r="AL1" s="54">
        <f>Private_Final!AU4</f>
        <v>2050</v>
      </c>
    </row>
    <row r="2" spans="1:38" s="156" customFormat="1">
      <c r="A2" t="str">
        <f>Private_Final!B5</f>
        <v>electricity(BTU)</v>
      </c>
      <c r="B2">
        <f>Private_Final!K5</f>
        <v>1583996203424.1868</v>
      </c>
      <c r="C2">
        <f>Private_Final!L5</f>
        <v>1354575747800.5864</v>
      </c>
      <c r="D2">
        <f>Private_Final!M5</f>
        <v>1249875967616.2739</v>
      </c>
      <c r="E2">
        <f>Private_Final!N5</f>
        <v>1119956064221.0935</v>
      </c>
      <c r="F2">
        <f>Private_Final!O5</f>
        <v>1132431644315.8821</v>
      </c>
      <c r="G2">
        <f>Private_Final!P5</f>
        <v>1141277016697.6636</v>
      </c>
      <c r="H2">
        <f>Private_Final!Q5</f>
        <v>1224261658230.2922</v>
      </c>
      <c r="I2">
        <f>Private_Final!R5</f>
        <v>1201065169379.8401</v>
      </c>
      <c r="J2">
        <f>Private_Final!S5</f>
        <v>1834273411712.6187</v>
      </c>
      <c r="K2">
        <f>Private_Final!T5</f>
        <v>1853213892192.0671</v>
      </c>
      <c r="L2">
        <f>Private_Final!U5</f>
        <v>1871003596487.123</v>
      </c>
      <c r="M2">
        <f>Private_Final!V5</f>
        <v>1886629039815.5588</v>
      </c>
      <c r="N2">
        <f>Private_Final!W5</f>
        <v>1903345183021.0557</v>
      </c>
      <c r="O2">
        <f>Private_Final!X5</f>
        <v>1921389851888.5771</v>
      </c>
      <c r="P2">
        <f>Private_Final!Y5</f>
        <v>1940524686921.6885</v>
      </c>
      <c r="Q2">
        <f>Private_Final!Z5</f>
        <v>1959975020142.7598</v>
      </c>
      <c r="R2">
        <f>Private_Final!AA5</f>
        <v>1979386535179.6038</v>
      </c>
      <c r="S2">
        <f>Private_Final!AB5</f>
        <v>1998169337339.928</v>
      </c>
      <c r="T2">
        <f>Private_Final!AC5</f>
        <v>2016750335045.7126</v>
      </c>
      <c r="U2">
        <f>Private_Final!AD5</f>
        <v>2035331419376.4175</v>
      </c>
      <c r="V2">
        <f>Private_Final!AE5</f>
        <v>2054014240002.6204</v>
      </c>
      <c r="W2">
        <f>Private_Final!AF5</f>
        <v>2073135601018.3689</v>
      </c>
      <c r="X2">
        <f>Private_Final!AG5</f>
        <v>2090197583961.3777</v>
      </c>
      <c r="Y2">
        <f>Private_Final!AH5</f>
        <v>2107423715777.1462</v>
      </c>
      <c r="Z2">
        <f>Private_Final!AI5</f>
        <v>2123842652246.739</v>
      </c>
      <c r="AA2">
        <f>Private_Final!AJ5</f>
        <v>2139100589377.9326</v>
      </c>
      <c r="AB2">
        <f>Private_Final!AK5</f>
        <v>2153182349684.5439</v>
      </c>
      <c r="AC2">
        <f>Private_Final!AL5</f>
        <v>2166152366210.5547</v>
      </c>
      <c r="AD2">
        <f>Private_Final!AM5</f>
        <v>2178129554141.6016</v>
      </c>
      <c r="AE2">
        <f>Private_Final!AN5</f>
        <v>2189395409281.4299</v>
      </c>
      <c r="AF2">
        <f>Private_Final!AO5</f>
        <v>2199725358715.4404</v>
      </c>
      <c r="AG2">
        <f>Private_Final!AP5</f>
        <v>2209161223164.0522</v>
      </c>
      <c r="AH2">
        <f>Private_Final!AQ5</f>
        <v>2217474856639.0156</v>
      </c>
      <c r="AI2">
        <f>Private_Final!AR5</f>
        <v>2267807195554.728</v>
      </c>
      <c r="AJ2">
        <f>Private_Final!AS5</f>
        <v>2285793628873.3896</v>
      </c>
      <c r="AK2">
        <f>Private_Final!AT5</f>
        <v>2303854847180.2231</v>
      </c>
      <c r="AL2">
        <f>Private_Final!AU5</f>
        <v>2321988972347.563</v>
      </c>
    </row>
    <row r="3" spans="1:38" s="156" customFormat="1">
      <c r="A3" t="str">
        <f>Private_Final!B6</f>
        <v>coal(BTU)</v>
      </c>
      <c r="B3">
        <f>Private_Final!K6</f>
        <v>0</v>
      </c>
      <c r="C3">
        <f>Private_Final!L6</f>
        <v>0</v>
      </c>
      <c r="D3">
        <f>Private_Final!M6</f>
        <v>0</v>
      </c>
      <c r="E3">
        <f>Private_Final!N6</f>
        <v>0</v>
      </c>
      <c r="F3">
        <f>Private_Final!O6</f>
        <v>0</v>
      </c>
      <c r="G3">
        <f>Private_Final!P6</f>
        <v>0</v>
      </c>
      <c r="H3">
        <f>Private_Final!Q6</f>
        <v>0</v>
      </c>
      <c r="I3">
        <f>Private_Final!R6</f>
        <v>0</v>
      </c>
      <c r="J3">
        <f>Private_Final!S6</f>
        <v>0</v>
      </c>
      <c r="K3">
        <f>Private_Final!T6</f>
        <v>0</v>
      </c>
      <c r="L3">
        <f>Private_Final!U6</f>
        <v>0</v>
      </c>
      <c r="M3">
        <f>Private_Final!V6</f>
        <v>0</v>
      </c>
      <c r="N3">
        <f>Private_Final!W6</f>
        <v>0</v>
      </c>
      <c r="O3">
        <f>Private_Final!X6</f>
        <v>0</v>
      </c>
      <c r="P3">
        <f>Private_Final!Y6</f>
        <v>0</v>
      </c>
      <c r="Q3">
        <f>Private_Final!Z6</f>
        <v>0</v>
      </c>
      <c r="R3">
        <f>Private_Final!AA6</f>
        <v>0</v>
      </c>
      <c r="S3">
        <f>Private_Final!AB6</f>
        <v>0</v>
      </c>
      <c r="T3">
        <f>Private_Final!AC6</f>
        <v>0</v>
      </c>
      <c r="U3">
        <f>Private_Final!AD6</f>
        <v>0</v>
      </c>
      <c r="V3">
        <f>Private_Final!AE6</f>
        <v>0</v>
      </c>
      <c r="W3">
        <f>Private_Final!AF6</f>
        <v>0</v>
      </c>
      <c r="X3">
        <f>Private_Final!AG6</f>
        <v>0</v>
      </c>
      <c r="Y3">
        <f>Private_Final!AH6</f>
        <v>0</v>
      </c>
      <c r="Z3">
        <f>Private_Final!AI6</f>
        <v>0</v>
      </c>
      <c r="AA3">
        <f>Private_Final!AJ6</f>
        <v>0</v>
      </c>
      <c r="AB3">
        <f>Private_Final!AK6</f>
        <v>0</v>
      </c>
      <c r="AC3">
        <f>Private_Final!AL6</f>
        <v>0</v>
      </c>
      <c r="AD3">
        <f>Private_Final!AM6</f>
        <v>0</v>
      </c>
      <c r="AE3">
        <f>Private_Final!AN6</f>
        <v>0</v>
      </c>
      <c r="AF3">
        <f>Private_Final!AO6</f>
        <v>0</v>
      </c>
      <c r="AG3">
        <f>Private_Final!AP6</f>
        <v>0</v>
      </c>
      <c r="AH3">
        <f>Private_Final!AQ6</f>
        <v>0</v>
      </c>
      <c r="AI3">
        <f>Private_Final!AR6</f>
        <v>0</v>
      </c>
      <c r="AJ3">
        <f>Private_Final!AS6</f>
        <v>0</v>
      </c>
      <c r="AK3">
        <f>Private_Final!AT6</f>
        <v>0</v>
      </c>
      <c r="AL3">
        <f>Private_Final!AU6</f>
        <v>0</v>
      </c>
    </row>
    <row r="4" spans="1:38" s="156" customFormat="1">
      <c r="A4" t="str">
        <f>Private_Final!B7</f>
        <v>natural gas(BTU)</v>
      </c>
      <c r="B4">
        <f>Private_Final!K7</f>
        <v>0</v>
      </c>
      <c r="C4">
        <f>Private_Final!L7</f>
        <v>0</v>
      </c>
      <c r="D4">
        <f>Private_Final!M7</f>
        <v>0</v>
      </c>
      <c r="E4">
        <f>Private_Final!N7</f>
        <v>0</v>
      </c>
      <c r="F4">
        <f>Private_Final!O7</f>
        <v>0</v>
      </c>
      <c r="G4">
        <f>Private_Final!P7</f>
        <v>0</v>
      </c>
      <c r="H4">
        <f>Private_Final!Q7</f>
        <v>0</v>
      </c>
      <c r="I4">
        <f>Private_Final!R7</f>
        <v>0</v>
      </c>
      <c r="J4">
        <f>Private_Final!S7</f>
        <v>0</v>
      </c>
      <c r="K4">
        <f>Private_Final!T7</f>
        <v>0</v>
      </c>
      <c r="L4">
        <f>Private_Final!U7</f>
        <v>0</v>
      </c>
      <c r="M4">
        <f>Private_Final!V7</f>
        <v>0</v>
      </c>
      <c r="N4">
        <f>Private_Final!W7</f>
        <v>0</v>
      </c>
      <c r="O4">
        <f>Private_Final!X7</f>
        <v>0</v>
      </c>
      <c r="P4">
        <f>Private_Final!Y7</f>
        <v>0</v>
      </c>
      <c r="Q4">
        <f>Private_Final!Z7</f>
        <v>0</v>
      </c>
      <c r="R4">
        <f>Private_Final!AA7</f>
        <v>0</v>
      </c>
      <c r="S4">
        <f>Private_Final!AB7</f>
        <v>0</v>
      </c>
      <c r="T4">
        <f>Private_Final!AC7</f>
        <v>0</v>
      </c>
      <c r="U4">
        <f>Private_Final!AD7</f>
        <v>0</v>
      </c>
      <c r="V4">
        <f>Private_Final!AE7</f>
        <v>0</v>
      </c>
      <c r="W4">
        <f>Private_Final!AF7</f>
        <v>0</v>
      </c>
      <c r="X4">
        <f>Private_Final!AG7</f>
        <v>0</v>
      </c>
      <c r="Y4">
        <f>Private_Final!AH7</f>
        <v>0</v>
      </c>
      <c r="Z4">
        <f>Private_Final!AI7</f>
        <v>0</v>
      </c>
      <c r="AA4">
        <f>Private_Final!AJ7</f>
        <v>0</v>
      </c>
      <c r="AB4">
        <f>Private_Final!AK7</f>
        <v>0</v>
      </c>
      <c r="AC4">
        <f>Private_Final!AL7</f>
        <v>0</v>
      </c>
      <c r="AD4">
        <f>Private_Final!AM7</f>
        <v>0</v>
      </c>
      <c r="AE4">
        <f>Private_Final!AN7</f>
        <v>0</v>
      </c>
      <c r="AF4">
        <f>Private_Final!AO7</f>
        <v>0</v>
      </c>
      <c r="AG4">
        <f>Private_Final!AP7</f>
        <v>0</v>
      </c>
      <c r="AH4">
        <f>Private_Final!AQ7</f>
        <v>0</v>
      </c>
      <c r="AI4">
        <f>Private_Final!AR7</f>
        <v>0</v>
      </c>
      <c r="AJ4">
        <f>Private_Final!AS7</f>
        <v>0</v>
      </c>
      <c r="AK4">
        <f>Private_Final!AT7</f>
        <v>0</v>
      </c>
      <c r="AL4">
        <f>Private_Final!AU7</f>
        <v>0</v>
      </c>
    </row>
    <row r="5" spans="1:38" s="156" customFormat="1">
      <c r="A5" t="str">
        <f>Private_Final!B8</f>
        <v>petroleum diesel (BTU)</v>
      </c>
      <c r="B5">
        <f>Private_Final!K8</f>
        <v>0</v>
      </c>
      <c r="C5">
        <f>Private_Final!L8</f>
        <v>0</v>
      </c>
      <c r="D5">
        <f>Private_Final!M8</f>
        <v>0</v>
      </c>
      <c r="E5">
        <f>Private_Final!N8</f>
        <v>0</v>
      </c>
      <c r="F5">
        <f>Private_Final!O8</f>
        <v>0</v>
      </c>
      <c r="G5">
        <f>Private_Final!P8</f>
        <v>0</v>
      </c>
      <c r="H5">
        <f>Private_Final!Q8</f>
        <v>0</v>
      </c>
      <c r="I5">
        <f>Private_Final!R8</f>
        <v>0</v>
      </c>
      <c r="J5">
        <f>Private_Final!S8</f>
        <v>0</v>
      </c>
      <c r="K5">
        <f>Private_Final!T8</f>
        <v>0</v>
      </c>
      <c r="L5">
        <f>Private_Final!U8</f>
        <v>0</v>
      </c>
      <c r="M5">
        <f>Private_Final!V8</f>
        <v>0</v>
      </c>
      <c r="N5">
        <f>Private_Final!W8</f>
        <v>0</v>
      </c>
      <c r="O5">
        <f>Private_Final!X8</f>
        <v>0</v>
      </c>
      <c r="P5">
        <f>Private_Final!Y8</f>
        <v>0</v>
      </c>
      <c r="Q5">
        <f>Private_Final!Z8</f>
        <v>0</v>
      </c>
      <c r="R5">
        <f>Private_Final!AA8</f>
        <v>0</v>
      </c>
      <c r="S5">
        <f>Private_Final!AB8</f>
        <v>0</v>
      </c>
      <c r="T5">
        <f>Private_Final!AC8</f>
        <v>0</v>
      </c>
      <c r="U5">
        <f>Private_Final!AD8</f>
        <v>0</v>
      </c>
      <c r="V5">
        <f>Private_Final!AE8</f>
        <v>0</v>
      </c>
      <c r="W5">
        <f>Private_Final!AF8</f>
        <v>0</v>
      </c>
      <c r="X5">
        <f>Private_Final!AG8</f>
        <v>0</v>
      </c>
      <c r="Y5">
        <f>Private_Final!AH8</f>
        <v>0</v>
      </c>
      <c r="Z5">
        <f>Private_Final!AI8</f>
        <v>0</v>
      </c>
      <c r="AA5">
        <f>Private_Final!AJ8</f>
        <v>0</v>
      </c>
      <c r="AB5">
        <f>Private_Final!AK8</f>
        <v>0</v>
      </c>
      <c r="AC5">
        <f>Private_Final!AL8</f>
        <v>0</v>
      </c>
      <c r="AD5">
        <f>Private_Final!AM8</f>
        <v>0</v>
      </c>
      <c r="AE5">
        <f>Private_Final!AN8</f>
        <v>0</v>
      </c>
      <c r="AF5">
        <f>Private_Final!AO8</f>
        <v>0</v>
      </c>
      <c r="AG5">
        <f>Private_Final!AP8</f>
        <v>0</v>
      </c>
      <c r="AH5">
        <f>Private_Final!AQ8</f>
        <v>0</v>
      </c>
      <c r="AI5">
        <f>Private_Final!AR8</f>
        <v>0</v>
      </c>
      <c r="AJ5">
        <f>Private_Final!AS8</f>
        <v>0</v>
      </c>
      <c r="AK5">
        <f>Private_Final!AT8</f>
        <v>0</v>
      </c>
      <c r="AL5">
        <f>Private_Final!AU8</f>
        <v>0</v>
      </c>
    </row>
    <row r="6" spans="1:38" s="156" customFormat="1">
      <c r="A6" t="str">
        <f>Private_Final!B9</f>
        <v>heat (BTU)</v>
      </c>
      <c r="B6">
        <f>Private_Final!K9</f>
        <v>0</v>
      </c>
      <c r="C6">
        <f>Private_Final!L9</f>
        <v>0</v>
      </c>
      <c r="D6">
        <f>Private_Final!M9</f>
        <v>0</v>
      </c>
      <c r="E6">
        <f>Private_Final!N9</f>
        <v>0</v>
      </c>
      <c r="F6">
        <f>Private_Final!O9</f>
        <v>0</v>
      </c>
      <c r="G6">
        <f>Private_Final!P9</f>
        <v>0</v>
      </c>
      <c r="H6">
        <f>Private_Final!Q9</f>
        <v>0</v>
      </c>
      <c r="I6">
        <f>Private_Final!R9</f>
        <v>0</v>
      </c>
      <c r="J6">
        <f>Private_Final!S9</f>
        <v>0</v>
      </c>
      <c r="K6">
        <f>Private_Final!T9</f>
        <v>0</v>
      </c>
      <c r="L6">
        <f>Private_Final!U9</f>
        <v>0</v>
      </c>
      <c r="M6">
        <f>Private_Final!V9</f>
        <v>0</v>
      </c>
      <c r="N6">
        <f>Private_Final!W9</f>
        <v>0</v>
      </c>
      <c r="O6">
        <f>Private_Final!X9</f>
        <v>0</v>
      </c>
      <c r="P6">
        <f>Private_Final!Y9</f>
        <v>0</v>
      </c>
      <c r="Q6">
        <f>Private_Final!Z9</f>
        <v>0</v>
      </c>
      <c r="R6">
        <f>Private_Final!AA9</f>
        <v>0</v>
      </c>
      <c r="S6">
        <f>Private_Final!AB9</f>
        <v>0</v>
      </c>
      <c r="T6">
        <f>Private_Final!AC9</f>
        <v>0</v>
      </c>
      <c r="U6">
        <f>Private_Final!AD9</f>
        <v>0</v>
      </c>
      <c r="V6">
        <f>Private_Final!AE9</f>
        <v>0</v>
      </c>
      <c r="W6">
        <f>Private_Final!AF9</f>
        <v>0</v>
      </c>
      <c r="X6">
        <f>Private_Final!AG9</f>
        <v>0</v>
      </c>
      <c r="Y6">
        <f>Private_Final!AH9</f>
        <v>0</v>
      </c>
      <c r="Z6">
        <f>Private_Final!AI9</f>
        <v>0</v>
      </c>
      <c r="AA6">
        <f>Private_Final!AJ9</f>
        <v>0</v>
      </c>
      <c r="AB6">
        <f>Private_Final!AK9</f>
        <v>0</v>
      </c>
      <c r="AC6">
        <f>Private_Final!AL9</f>
        <v>0</v>
      </c>
      <c r="AD6">
        <f>Private_Final!AM9</f>
        <v>0</v>
      </c>
      <c r="AE6">
        <f>Private_Final!AN9</f>
        <v>0</v>
      </c>
      <c r="AF6">
        <f>Private_Final!AO9</f>
        <v>0</v>
      </c>
      <c r="AG6">
        <f>Private_Final!AP9</f>
        <v>0</v>
      </c>
      <c r="AH6">
        <f>Private_Final!AQ9</f>
        <v>0</v>
      </c>
      <c r="AI6">
        <f>Private_Final!AR9</f>
        <v>0</v>
      </c>
      <c r="AJ6">
        <f>Private_Final!AS9</f>
        <v>0</v>
      </c>
      <c r="AK6">
        <f>Private_Final!AT9</f>
        <v>0</v>
      </c>
      <c r="AL6">
        <f>Private_Final!AU9</f>
        <v>0</v>
      </c>
    </row>
    <row r="7" spans="1:38" s="156" customFormat="1">
      <c r="A7" t="str">
        <f>Private_Final!B10</f>
        <v>biomass (BTU)</v>
      </c>
      <c r="B7">
        <f>Private_Final!K10</f>
        <v>0</v>
      </c>
      <c r="C7">
        <f>Private_Final!L10</f>
        <v>0</v>
      </c>
      <c r="D7">
        <f>Private_Final!M10</f>
        <v>0</v>
      </c>
      <c r="E7">
        <f>Private_Final!N10</f>
        <v>0</v>
      </c>
      <c r="F7">
        <f>Private_Final!O10</f>
        <v>0</v>
      </c>
      <c r="G7">
        <f>Private_Final!P10</f>
        <v>0</v>
      </c>
      <c r="H7">
        <f>Private_Final!Q10</f>
        <v>0</v>
      </c>
      <c r="I7">
        <f>Private_Final!R10</f>
        <v>0</v>
      </c>
      <c r="J7">
        <f>Private_Final!S10</f>
        <v>0</v>
      </c>
      <c r="K7">
        <f>Private_Final!T10</f>
        <v>0</v>
      </c>
      <c r="L7">
        <f>Private_Final!U10</f>
        <v>0</v>
      </c>
      <c r="M7">
        <f>Private_Final!V10</f>
        <v>0</v>
      </c>
      <c r="N7">
        <f>Private_Final!W10</f>
        <v>0</v>
      </c>
      <c r="O7">
        <f>Private_Final!X10</f>
        <v>0</v>
      </c>
      <c r="P7">
        <f>Private_Final!Y10</f>
        <v>0</v>
      </c>
      <c r="Q7">
        <f>Private_Final!Z10</f>
        <v>0</v>
      </c>
      <c r="R7">
        <f>Private_Final!AA10</f>
        <v>0</v>
      </c>
      <c r="S7">
        <f>Private_Final!AB10</f>
        <v>0</v>
      </c>
      <c r="T7">
        <f>Private_Final!AC10</f>
        <v>0</v>
      </c>
      <c r="U7">
        <f>Private_Final!AD10</f>
        <v>0</v>
      </c>
      <c r="V7">
        <f>Private_Final!AE10</f>
        <v>0</v>
      </c>
      <c r="W7">
        <f>Private_Final!AF10</f>
        <v>0</v>
      </c>
      <c r="X7">
        <f>Private_Final!AG10</f>
        <v>0</v>
      </c>
      <c r="Y7">
        <f>Private_Final!AH10</f>
        <v>0</v>
      </c>
      <c r="Z7">
        <f>Private_Final!AI10</f>
        <v>0</v>
      </c>
      <c r="AA7">
        <f>Private_Final!AJ10</f>
        <v>0</v>
      </c>
      <c r="AB7">
        <f>Private_Final!AK10</f>
        <v>0</v>
      </c>
      <c r="AC7">
        <f>Private_Final!AL10</f>
        <v>0</v>
      </c>
      <c r="AD7">
        <f>Private_Final!AM10</f>
        <v>0</v>
      </c>
      <c r="AE7">
        <f>Private_Final!AN10</f>
        <v>0</v>
      </c>
      <c r="AF7">
        <f>Private_Final!AO10</f>
        <v>0</v>
      </c>
      <c r="AG7">
        <f>Private_Final!AP10</f>
        <v>0</v>
      </c>
      <c r="AH7">
        <f>Private_Final!AQ10</f>
        <v>0</v>
      </c>
      <c r="AI7">
        <f>Private_Final!AR10</f>
        <v>0</v>
      </c>
      <c r="AJ7">
        <f>Private_Final!AS10</f>
        <v>0</v>
      </c>
      <c r="AK7">
        <f>Private_Final!AT10</f>
        <v>0</v>
      </c>
      <c r="AL7">
        <f>Private_Final!AU10</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4" tint="-0.499984740745262"/>
  </sheetPr>
  <dimension ref="A1:AL11"/>
  <sheetViews>
    <sheetView workbookViewId="0">
      <pane xSplit="1" topLeftCell="B1" activePane="topRight" state="frozen"/>
      <selection activeCell="AJ11" sqref="AJ11"/>
      <selection pane="topRight" activeCell="A8" sqref="A8:XFD11"/>
    </sheetView>
  </sheetViews>
  <sheetFormatPr defaultColWidth="8.7265625" defaultRowHeight="14.5"/>
  <cols>
    <col min="1" max="1" width="19.7265625" bestFit="1" customWidth="1"/>
  </cols>
  <sheetData>
    <row r="1" spans="1:38" s="54" customFormat="1">
      <c r="A1" s="54" t="str">
        <f>Private_Final!B31</f>
        <v>Year</v>
      </c>
      <c r="B1" s="54">
        <f>Private_Final!K31</f>
        <v>2014</v>
      </c>
      <c r="C1" s="54">
        <f>Private_Final!L31</f>
        <v>2015</v>
      </c>
      <c r="D1" s="54">
        <f>Private_Final!M31</f>
        <v>2016</v>
      </c>
      <c r="E1" s="54">
        <f>Private_Final!N31</f>
        <v>2017</v>
      </c>
      <c r="F1" s="54">
        <f>Private_Final!O31</f>
        <v>2018</v>
      </c>
      <c r="G1" s="54">
        <f>Private_Final!P31</f>
        <v>2019</v>
      </c>
      <c r="H1" s="54">
        <f>Private_Final!Q31</f>
        <v>2020</v>
      </c>
      <c r="I1" s="54">
        <f>Private_Final!R31</f>
        <v>2021</v>
      </c>
      <c r="J1" s="54">
        <f>Private_Final!S31</f>
        <v>2022</v>
      </c>
      <c r="K1" s="54">
        <f>Private_Final!T31</f>
        <v>2023</v>
      </c>
      <c r="L1" s="54">
        <f>Private_Final!U31</f>
        <v>2024</v>
      </c>
      <c r="M1" s="54">
        <f>Private_Final!V31</f>
        <v>2025</v>
      </c>
      <c r="N1" s="54">
        <f>Private_Final!W31</f>
        <v>2026</v>
      </c>
      <c r="O1" s="54">
        <f>Private_Final!X31</f>
        <v>2027</v>
      </c>
      <c r="P1" s="54">
        <f>Private_Final!Y31</f>
        <v>2028</v>
      </c>
      <c r="Q1" s="54">
        <f>Private_Final!Z31</f>
        <v>2029</v>
      </c>
      <c r="R1" s="54">
        <f>Private_Final!AA31</f>
        <v>2030</v>
      </c>
      <c r="S1" s="54">
        <f>Private_Final!AB31</f>
        <v>2031</v>
      </c>
      <c r="T1" s="54">
        <f>Private_Final!AC31</f>
        <v>2032</v>
      </c>
      <c r="U1" s="54">
        <f>Private_Final!AD31</f>
        <v>2033</v>
      </c>
      <c r="V1" s="54">
        <f>Private_Final!AE31</f>
        <v>2034</v>
      </c>
      <c r="W1" s="54">
        <f>Private_Final!AF31</f>
        <v>2035</v>
      </c>
      <c r="X1" s="54">
        <f>Private_Final!AG31</f>
        <v>2036</v>
      </c>
      <c r="Y1" s="54">
        <f>Private_Final!AH31</f>
        <v>2037</v>
      </c>
      <c r="Z1" s="54">
        <f>Private_Final!AI31</f>
        <v>2038</v>
      </c>
      <c r="AA1" s="54">
        <f>Private_Final!AJ31</f>
        <v>2039</v>
      </c>
      <c r="AB1" s="54">
        <f>Private_Final!AK31</f>
        <v>2040</v>
      </c>
      <c r="AC1" s="54">
        <f>Private_Final!AL31</f>
        <v>2041</v>
      </c>
      <c r="AD1" s="54">
        <f>Private_Final!AM31</f>
        <v>2042</v>
      </c>
      <c r="AE1" s="54">
        <f>Private_Final!AN31</f>
        <v>2043</v>
      </c>
      <c r="AF1" s="54">
        <f>Private_Final!AO31</f>
        <v>2044</v>
      </c>
      <c r="AG1" s="54">
        <f>Private_Final!AP31</f>
        <v>2045</v>
      </c>
      <c r="AH1" s="54">
        <f>Private_Final!AQ31</f>
        <v>2046</v>
      </c>
      <c r="AI1" s="54">
        <f>Private_Final!AR31</f>
        <v>2047</v>
      </c>
      <c r="AJ1" s="54">
        <f>Private_Final!AS31</f>
        <v>2048</v>
      </c>
      <c r="AK1" s="54">
        <f>Private_Final!AT31</f>
        <v>2049</v>
      </c>
      <c r="AL1" s="54">
        <f>Private_Final!AU31</f>
        <v>2050</v>
      </c>
    </row>
    <row r="2" spans="1:38" s="156" customFormat="1">
      <c r="A2" t="str">
        <f>Private_Final!B32</f>
        <v>electricity(BTU)</v>
      </c>
      <c r="B2">
        <f>Private_Final!K32</f>
        <v>9110690491955.2109</v>
      </c>
      <c r="C2">
        <f>Private_Final!L32</f>
        <v>8713534260351.9033</v>
      </c>
      <c r="D2">
        <f>Private_Final!M32</f>
        <v>9216815601660.543</v>
      </c>
      <c r="E2">
        <f>Private_Final!N32</f>
        <v>9315831262062.0137</v>
      </c>
      <c r="F2">
        <f>Private_Final!O32</f>
        <v>9396452762727.459</v>
      </c>
      <c r="G2">
        <f>Private_Final!P32</f>
        <v>9385368460962.4629</v>
      </c>
      <c r="H2">
        <f>Private_Final!Q32</f>
        <v>10092738912774.273</v>
      </c>
      <c r="I2">
        <f>Private_Final!R32</f>
        <v>9861474357659.8418</v>
      </c>
      <c r="J2">
        <f>Private_Final!S32</f>
        <v>8775930119883.6611</v>
      </c>
      <c r="K2">
        <f>Private_Final!T32</f>
        <v>8824183856655.3809</v>
      </c>
      <c r="L2">
        <f>Private_Final!U32</f>
        <v>8866118435747.1055</v>
      </c>
      <c r="M2">
        <f>Private_Final!V32</f>
        <v>8897033351051.375</v>
      </c>
      <c r="N2">
        <f>Private_Final!W32</f>
        <v>8932352482744.459</v>
      </c>
      <c r="O2">
        <f>Private_Final!X32</f>
        <v>8973111702710.6777</v>
      </c>
      <c r="P2">
        <f>Private_Final!Y32</f>
        <v>9018112181334.4707</v>
      </c>
      <c r="Q2">
        <f>Private_Final!Z32</f>
        <v>9063696783349.0156</v>
      </c>
      <c r="R2">
        <f>Private_Final!AA32</f>
        <v>9108213472736.5703</v>
      </c>
      <c r="S2">
        <f>Private_Final!AB32</f>
        <v>9148963976813.4883</v>
      </c>
      <c r="T2">
        <f>Private_Final!AC32</f>
        <v>9187936328402.1367</v>
      </c>
      <c r="U2">
        <f>Private_Final!AD32</f>
        <v>9226059530129.3145</v>
      </c>
      <c r="V2">
        <f>Private_Final!AE32</f>
        <v>9263792025362.4648</v>
      </c>
      <c r="W2">
        <f>Private_Final!AF32</f>
        <v>9302638154610.1406</v>
      </c>
      <c r="X2">
        <f>Private_Final!AG32</f>
        <v>9331416208862.1836</v>
      </c>
      <c r="Y2">
        <f>Private_Final!AH32</f>
        <v>9360143240358.9043</v>
      </c>
      <c r="Z2">
        <f>Private_Final!AI32</f>
        <v>9384515962009.877</v>
      </c>
      <c r="AA2">
        <f>Private_Final!AJ32</f>
        <v>9403034484892.1602</v>
      </c>
      <c r="AB2">
        <f>Private_Final!AK32</f>
        <v>9415712062091.2734</v>
      </c>
      <c r="AC2">
        <f>Private_Final!AL32</f>
        <v>9422909645757.1523</v>
      </c>
      <c r="AD2">
        <f>Private_Final!AM32</f>
        <v>9425218051668.0742</v>
      </c>
      <c r="AE2">
        <f>Private_Final!AN32</f>
        <v>9423917025106.252</v>
      </c>
      <c r="AF2">
        <f>Private_Final!AO32</f>
        <v>9418093844540.8789</v>
      </c>
      <c r="AG2">
        <f>Private_Final!AP32</f>
        <v>9407990794639.8262</v>
      </c>
      <c r="AH2">
        <f>Private_Final!AQ32</f>
        <v>9392702820308.791</v>
      </c>
      <c r="AI2">
        <f>Private_Final!AR32</f>
        <v>9554055538649.2617</v>
      </c>
      <c r="AJ2">
        <f>Private_Final!AS32</f>
        <v>9577576237408.8203</v>
      </c>
      <c r="AK2">
        <f>Private_Final!AT32</f>
        <v>9600586220521.0586</v>
      </c>
      <c r="AL2">
        <f>Private_Final!AU32</f>
        <v>9623072575547.043</v>
      </c>
    </row>
    <row r="3" spans="1:38" s="156" customFormat="1">
      <c r="A3" t="str">
        <f>Private_Final!B33</f>
        <v>coal(BTU)</v>
      </c>
      <c r="B3">
        <f>Private_Final!K33</f>
        <v>0</v>
      </c>
      <c r="C3">
        <f>Private_Final!L33</f>
        <v>0</v>
      </c>
      <c r="D3">
        <f>Private_Final!M33</f>
        <v>0</v>
      </c>
      <c r="E3">
        <f>Private_Final!N33</f>
        <v>0</v>
      </c>
      <c r="F3">
        <f>Private_Final!O33</f>
        <v>0</v>
      </c>
      <c r="G3">
        <f>Private_Final!P33</f>
        <v>0</v>
      </c>
      <c r="H3">
        <f>Private_Final!Q33</f>
        <v>0</v>
      </c>
      <c r="I3">
        <f>Private_Final!R33</f>
        <v>0</v>
      </c>
      <c r="J3">
        <f>Private_Final!S33</f>
        <v>0</v>
      </c>
      <c r="K3">
        <f>Private_Final!T33</f>
        <v>0</v>
      </c>
      <c r="L3">
        <f>Private_Final!U33</f>
        <v>0</v>
      </c>
      <c r="M3">
        <f>Private_Final!V33</f>
        <v>0</v>
      </c>
      <c r="N3">
        <f>Private_Final!W33</f>
        <v>0</v>
      </c>
      <c r="O3">
        <f>Private_Final!X33</f>
        <v>0</v>
      </c>
      <c r="P3">
        <f>Private_Final!Y33</f>
        <v>0</v>
      </c>
      <c r="Q3">
        <f>Private_Final!Z33</f>
        <v>0</v>
      </c>
      <c r="R3">
        <f>Private_Final!AA33</f>
        <v>0</v>
      </c>
      <c r="S3">
        <f>Private_Final!AB33</f>
        <v>0</v>
      </c>
      <c r="T3">
        <f>Private_Final!AC33</f>
        <v>0</v>
      </c>
      <c r="U3">
        <f>Private_Final!AD33</f>
        <v>0</v>
      </c>
      <c r="V3">
        <f>Private_Final!AE33</f>
        <v>0</v>
      </c>
      <c r="W3">
        <f>Private_Final!AF33</f>
        <v>0</v>
      </c>
      <c r="X3">
        <f>Private_Final!AG33</f>
        <v>0</v>
      </c>
      <c r="Y3">
        <f>Private_Final!AH33</f>
        <v>0</v>
      </c>
      <c r="Z3">
        <f>Private_Final!AI33</f>
        <v>0</v>
      </c>
      <c r="AA3">
        <f>Private_Final!AJ33</f>
        <v>0</v>
      </c>
      <c r="AB3">
        <f>Private_Final!AK33</f>
        <v>0</v>
      </c>
      <c r="AC3">
        <f>Private_Final!AL33</f>
        <v>0</v>
      </c>
      <c r="AD3">
        <f>Private_Final!AM33</f>
        <v>0</v>
      </c>
      <c r="AE3">
        <f>Private_Final!AN33</f>
        <v>0</v>
      </c>
      <c r="AF3">
        <f>Private_Final!AO33</f>
        <v>0</v>
      </c>
      <c r="AG3">
        <f>Private_Final!AP33</f>
        <v>0</v>
      </c>
      <c r="AH3">
        <f>Private_Final!AQ33</f>
        <v>0</v>
      </c>
      <c r="AI3">
        <f>Private_Final!AR33</f>
        <v>0</v>
      </c>
      <c r="AJ3">
        <f>Private_Final!AS33</f>
        <v>0</v>
      </c>
      <c r="AK3">
        <f>Private_Final!AT33</f>
        <v>0</v>
      </c>
      <c r="AL3">
        <f>Private_Final!AU33</f>
        <v>0</v>
      </c>
    </row>
    <row r="4" spans="1:38" s="156" customFormat="1">
      <c r="A4" t="str">
        <f>Private_Final!B34</f>
        <v>natural gas(BTU)</v>
      </c>
      <c r="B4">
        <f>Private_Final!K34</f>
        <v>8680677022299.8408</v>
      </c>
      <c r="C4">
        <f>Private_Final!L34</f>
        <v>8304740480672.8525</v>
      </c>
      <c r="D4">
        <f>Private_Final!M34</f>
        <v>8649083698876.5137</v>
      </c>
      <c r="E4">
        <f>Private_Final!N34</f>
        <v>8384903185015.7783</v>
      </c>
      <c r="F4">
        <f>Private_Final!O34</f>
        <v>8271221953286.7461</v>
      </c>
      <c r="G4">
        <f>Private_Final!P34</f>
        <v>8114089586233.5508</v>
      </c>
      <c r="H4">
        <f>Private_Final!Q34</f>
        <v>8735637139120.8018</v>
      </c>
      <c r="I4">
        <f>Private_Final!R34</f>
        <v>8431866585529.2852</v>
      </c>
      <c r="J4">
        <f>Private_Final!S34</f>
        <v>8348723225431.3447</v>
      </c>
      <c r="K4">
        <f>Private_Final!T34</f>
        <v>8305767716824.415</v>
      </c>
      <c r="L4">
        <f>Private_Final!U34</f>
        <v>8255094656015.877</v>
      </c>
      <c r="M4">
        <f>Private_Final!V34</f>
        <v>8192543678956.6719</v>
      </c>
      <c r="N4">
        <f>Private_Final!W34</f>
        <v>8132474872908.1611</v>
      </c>
      <c r="O4">
        <f>Private_Final!X34</f>
        <v>8075659771422.6074</v>
      </c>
      <c r="P4">
        <f>Private_Final!Y34</f>
        <v>8020835372609.6523</v>
      </c>
      <c r="Q4">
        <f>Private_Final!Z34</f>
        <v>7964625763671.0381</v>
      </c>
      <c r="R4">
        <f>Private_Final!AA34</f>
        <v>7905549858687.0254</v>
      </c>
      <c r="S4">
        <f>Private_Final!AB34</f>
        <v>7841300884409.7139</v>
      </c>
      <c r="T4">
        <f>Private_Final!AC34</f>
        <v>7773655836903.4688</v>
      </c>
      <c r="U4">
        <f>Private_Final!AD34</f>
        <v>7703421038791.3389</v>
      </c>
      <c r="V4">
        <f>Private_Final!AE34</f>
        <v>7630974115888.5078</v>
      </c>
      <c r="W4">
        <f>Private_Final!AF34</f>
        <v>7557521600076.0361</v>
      </c>
      <c r="X4">
        <f>Private_Final!AG34</f>
        <v>7474039845680.0566</v>
      </c>
      <c r="Y4">
        <f>Private_Final!AH34</f>
        <v>7388755270164.0918</v>
      </c>
      <c r="Z4">
        <f>Private_Final!AI34</f>
        <v>7298295659538.7646</v>
      </c>
      <c r="AA4">
        <f>Private_Final!AJ34</f>
        <v>7201638650905.6748</v>
      </c>
      <c r="AB4">
        <f>Private_Final!AK34</f>
        <v>7098976958959.916</v>
      </c>
      <c r="AC4">
        <f>Private_Final!AL34</f>
        <v>6990764454588.6318</v>
      </c>
      <c r="AD4">
        <f>Private_Final!AM34</f>
        <v>6877609077016.834</v>
      </c>
      <c r="AE4">
        <f>Private_Final!AN34</f>
        <v>6760587642599.3398</v>
      </c>
      <c r="AF4">
        <f>Private_Final!AO34</f>
        <v>6639171082668.4326</v>
      </c>
      <c r="AG4">
        <f>Private_Final!AP34</f>
        <v>6513678394359.4707</v>
      </c>
      <c r="AH4">
        <f>Private_Final!AQ34</f>
        <v>6383639738809.291</v>
      </c>
      <c r="AI4">
        <f>Private_Final!AR34</f>
        <v>6370476576603.7363</v>
      </c>
      <c r="AJ4">
        <f>Private_Final!AS34</f>
        <v>6261689213641.041</v>
      </c>
      <c r="AK4">
        <f>Private_Final!AT34</f>
        <v>6150594304138.71</v>
      </c>
      <c r="AL4">
        <f>Private_Final!AU34</f>
        <v>6037171328103.6523</v>
      </c>
    </row>
    <row r="5" spans="1:38" s="156" customFormat="1">
      <c r="A5" t="str">
        <f>Private_Final!B35</f>
        <v>petroleum diesel (BTU)</v>
      </c>
      <c r="B5">
        <f>Private_Final!K35</f>
        <v>0</v>
      </c>
      <c r="C5">
        <f>Private_Final!L35</f>
        <v>0</v>
      </c>
      <c r="D5">
        <f>Private_Final!M35</f>
        <v>0</v>
      </c>
      <c r="E5">
        <f>Private_Final!N35</f>
        <v>0</v>
      </c>
      <c r="F5">
        <f>Private_Final!O35</f>
        <v>0</v>
      </c>
      <c r="G5">
        <f>Private_Final!P35</f>
        <v>0</v>
      </c>
      <c r="H5">
        <f>Private_Final!Q35</f>
        <v>0</v>
      </c>
      <c r="I5">
        <f>Private_Final!R35</f>
        <v>0</v>
      </c>
      <c r="J5">
        <f>Private_Final!S35</f>
        <v>0</v>
      </c>
      <c r="K5">
        <f>Private_Final!T35</f>
        <v>0</v>
      </c>
      <c r="L5">
        <f>Private_Final!U35</f>
        <v>0</v>
      </c>
      <c r="M5">
        <f>Private_Final!V35</f>
        <v>0</v>
      </c>
      <c r="N5">
        <f>Private_Final!W35</f>
        <v>0</v>
      </c>
      <c r="O5">
        <f>Private_Final!X35</f>
        <v>0</v>
      </c>
      <c r="P5">
        <f>Private_Final!Y35</f>
        <v>0</v>
      </c>
      <c r="Q5">
        <f>Private_Final!Z35</f>
        <v>0</v>
      </c>
      <c r="R5">
        <f>Private_Final!AA35</f>
        <v>0</v>
      </c>
      <c r="S5">
        <f>Private_Final!AB35</f>
        <v>0</v>
      </c>
      <c r="T5">
        <f>Private_Final!AC35</f>
        <v>0</v>
      </c>
      <c r="U5">
        <f>Private_Final!AD35</f>
        <v>0</v>
      </c>
      <c r="V5">
        <f>Private_Final!AE35</f>
        <v>0</v>
      </c>
      <c r="W5">
        <f>Private_Final!AF35</f>
        <v>0</v>
      </c>
      <c r="X5">
        <f>Private_Final!AG35</f>
        <v>0</v>
      </c>
      <c r="Y5">
        <f>Private_Final!AH35</f>
        <v>0</v>
      </c>
      <c r="Z5">
        <f>Private_Final!AI35</f>
        <v>0</v>
      </c>
      <c r="AA5">
        <f>Private_Final!AJ35</f>
        <v>0</v>
      </c>
      <c r="AB5">
        <f>Private_Final!AK35</f>
        <v>0</v>
      </c>
      <c r="AC5">
        <f>Private_Final!AL35</f>
        <v>0</v>
      </c>
      <c r="AD5">
        <f>Private_Final!AM35</f>
        <v>0</v>
      </c>
      <c r="AE5">
        <f>Private_Final!AN35</f>
        <v>0</v>
      </c>
      <c r="AF5">
        <f>Private_Final!AO35</f>
        <v>0</v>
      </c>
      <c r="AG5">
        <f>Private_Final!AP35</f>
        <v>0</v>
      </c>
      <c r="AH5">
        <f>Private_Final!AQ35</f>
        <v>0</v>
      </c>
      <c r="AI5">
        <f>Private_Final!AR35</f>
        <v>0</v>
      </c>
      <c r="AJ5">
        <f>Private_Final!AS35</f>
        <v>0</v>
      </c>
      <c r="AK5">
        <f>Private_Final!AT35</f>
        <v>0</v>
      </c>
      <c r="AL5">
        <f>Private_Final!AU35</f>
        <v>0</v>
      </c>
    </row>
    <row r="6" spans="1:38">
      <c r="A6" t="str">
        <f>Private_Final!B36</f>
        <v>heat (BTU)</v>
      </c>
      <c r="B6">
        <f>Private_Final!K36</f>
        <v>0</v>
      </c>
      <c r="C6">
        <f>Private_Final!L36</f>
        <v>0</v>
      </c>
      <c r="D6">
        <f>Private_Final!M36</f>
        <v>0</v>
      </c>
      <c r="E6">
        <f>Private_Final!N36</f>
        <v>0</v>
      </c>
      <c r="F6">
        <f>Private_Final!O36</f>
        <v>0</v>
      </c>
      <c r="G6">
        <f>Private_Final!P36</f>
        <v>0</v>
      </c>
      <c r="H6">
        <f>Private_Final!Q36</f>
        <v>0</v>
      </c>
      <c r="I6">
        <f>Private_Final!R36</f>
        <v>0</v>
      </c>
      <c r="J6">
        <f>Private_Final!S36</f>
        <v>0</v>
      </c>
      <c r="K6">
        <f>Private_Final!T36</f>
        <v>0</v>
      </c>
      <c r="L6">
        <f>Private_Final!U36</f>
        <v>0</v>
      </c>
      <c r="M6">
        <f>Private_Final!V36</f>
        <v>0</v>
      </c>
      <c r="N6">
        <f>Private_Final!W36</f>
        <v>0</v>
      </c>
      <c r="O6">
        <f>Private_Final!X36</f>
        <v>0</v>
      </c>
      <c r="P6">
        <f>Private_Final!Y36</f>
        <v>0</v>
      </c>
      <c r="Q6">
        <f>Private_Final!Z36</f>
        <v>0</v>
      </c>
      <c r="R6">
        <f>Private_Final!AA36</f>
        <v>0</v>
      </c>
      <c r="S6">
        <f>Private_Final!AB36</f>
        <v>0</v>
      </c>
      <c r="T6">
        <f>Private_Final!AC36</f>
        <v>0</v>
      </c>
      <c r="U6">
        <f>Private_Final!AD36</f>
        <v>0</v>
      </c>
      <c r="V6">
        <f>Private_Final!AE36</f>
        <v>0</v>
      </c>
      <c r="W6">
        <f>Private_Final!AF36</f>
        <v>0</v>
      </c>
      <c r="X6">
        <f>Private_Final!AG36</f>
        <v>0</v>
      </c>
      <c r="Y6">
        <f>Private_Final!AH36</f>
        <v>0</v>
      </c>
      <c r="Z6">
        <f>Private_Final!AI36</f>
        <v>0</v>
      </c>
      <c r="AA6">
        <f>Private_Final!AJ36</f>
        <v>0</v>
      </c>
      <c r="AB6">
        <f>Private_Final!AK36</f>
        <v>0</v>
      </c>
      <c r="AC6">
        <f>Private_Final!AL36</f>
        <v>0</v>
      </c>
      <c r="AD6">
        <f>Private_Final!AM36</f>
        <v>0</v>
      </c>
      <c r="AE6">
        <f>Private_Final!AN36</f>
        <v>0</v>
      </c>
      <c r="AF6">
        <f>Private_Final!AO36</f>
        <v>0</v>
      </c>
      <c r="AG6">
        <f>Private_Final!AP36</f>
        <v>0</v>
      </c>
      <c r="AH6">
        <f>Private_Final!AQ36</f>
        <v>0</v>
      </c>
      <c r="AI6">
        <f>Private_Final!AR36</f>
        <v>0</v>
      </c>
      <c r="AJ6">
        <f>Private_Final!AS36</f>
        <v>0</v>
      </c>
      <c r="AK6">
        <f>Private_Final!AT36</f>
        <v>0</v>
      </c>
      <c r="AL6">
        <f>Private_Final!AU36</f>
        <v>0</v>
      </c>
    </row>
    <row r="7" spans="1:38">
      <c r="A7" t="str">
        <f>Private_Final!B37</f>
        <v>biomass (BTU)</v>
      </c>
      <c r="B7">
        <f>Private_Final!K37</f>
        <v>0</v>
      </c>
      <c r="C7">
        <f>Private_Final!L37</f>
        <v>0</v>
      </c>
      <c r="D7">
        <f>Private_Final!M37</f>
        <v>0</v>
      </c>
      <c r="E7">
        <f>Private_Final!N37</f>
        <v>0</v>
      </c>
      <c r="F7">
        <f>Private_Final!O37</f>
        <v>0</v>
      </c>
      <c r="G7">
        <f>Private_Final!P37</f>
        <v>0</v>
      </c>
      <c r="H7">
        <f>Private_Final!Q37</f>
        <v>0</v>
      </c>
      <c r="I7">
        <f>Private_Final!R37</f>
        <v>0</v>
      </c>
      <c r="J7">
        <f>Private_Final!S37</f>
        <v>0</v>
      </c>
      <c r="K7">
        <f>Private_Final!T37</f>
        <v>0</v>
      </c>
      <c r="L7">
        <f>Private_Final!U37</f>
        <v>0</v>
      </c>
      <c r="M7">
        <f>Private_Final!V37</f>
        <v>0</v>
      </c>
      <c r="N7">
        <f>Private_Final!W37</f>
        <v>0</v>
      </c>
      <c r="O7">
        <f>Private_Final!X37</f>
        <v>0</v>
      </c>
      <c r="P7">
        <f>Private_Final!Y37</f>
        <v>0</v>
      </c>
      <c r="Q7">
        <f>Private_Final!Z37</f>
        <v>0</v>
      </c>
      <c r="R7">
        <f>Private_Final!AA37</f>
        <v>0</v>
      </c>
      <c r="S7">
        <f>Private_Final!AB37</f>
        <v>0</v>
      </c>
      <c r="T7">
        <f>Private_Final!AC37</f>
        <v>0</v>
      </c>
      <c r="U7">
        <f>Private_Final!AD37</f>
        <v>0</v>
      </c>
      <c r="V7">
        <f>Private_Final!AE37</f>
        <v>0</v>
      </c>
      <c r="W7">
        <f>Private_Final!AF37</f>
        <v>0</v>
      </c>
      <c r="X7">
        <f>Private_Final!AG37</f>
        <v>0</v>
      </c>
      <c r="Y7">
        <f>Private_Final!AH37</f>
        <v>0</v>
      </c>
      <c r="Z7">
        <f>Private_Final!AI37</f>
        <v>0</v>
      </c>
      <c r="AA7">
        <f>Private_Final!AJ37</f>
        <v>0</v>
      </c>
      <c r="AB7">
        <f>Private_Final!AK37</f>
        <v>0</v>
      </c>
      <c r="AC7">
        <f>Private_Final!AL37</f>
        <v>0</v>
      </c>
      <c r="AD7">
        <f>Private_Final!AM37</f>
        <v>0</v>
      </c>
      <c r="AE7">
        <f>Private_Final!AN37</f>
        <v>0</v>
      </c>
      <c r="AF7">
        <f>Private_Final!AO37</f>
        <v>0</v>
      </c>
      <c r="AG7">
        <f>Private_Final!AP37</f>
        <v>0</v>
      </c>
      <c r="AH7">
        <f>Private_Final!AQ37</f>
        <v>0</v>
      </c>
      <c r="AI7">
        <f>Private_Final!AR37</f>
        <v>0</v>
      </c>
      <c r="AJ7">
        <f>Private_Final!AS37</f>
        <v>0</v>
      </c>
      <c r="AK7">
        <f>Private_Final!AT37</f>
        <v>0</v>
      </c>
      <c r="AL7">
        <f>Private_Final!AU37</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4" tint="-0.499984740745262"/>
  </sheetPr>
  <dimension ref="A1:AL11"/>
  <sheetViews>
    <sheetView zoomScale="97" workbookViewId="0">
      <pane xSplit="1" topLeftCell="B1" activePane="topRight" state="frozen"/>
      <selection activeCell="AJ11" sqref="AJ11"/>
      <selection pane="topRight" activeCell="A8" sqref="A8:XFD11"/>
    </sheetView>
  </sheetViews>
  <sheetFormatPr defaultColWidth="8.7265625" defaultRowHeight="14.5"/>
  <cols>
    <col min="1" max="1" width="19.7265625" bestFit="1" customWidth="1"/>
  </cols>
  <sheetData>
    <row r="1" spans="1:38" s="54" customFormat="1">
      <c r="A1" s="54" t="str">
        <f>Private_Final!B40</f>
        <v>Year</v>
      </c>
      <c r="B1" s="54">
        <f>Private_Final!K40</f>
        <v>2014</v>
      </c>
      <c r="C1" s="54">
        <f>Private_Final!L40</f>
        <v>2015</v>
      </c>
      <c r="D1" s="54">
        <f>Private_Final!M40</f>
        <v>2016</v>
      </c>
      <c r="E1" s="54">
        <f>Private_Final!N40</f>
        <v>2017</v>
      </c>
      <c r="F1" s="54">
        <f>Private_Final!O40</f>
        <v>2018</v>
      </c>
      <c r="G1" s="54">
        <f>Private_Final!P40</f>
        <v>2019</v>
      </c>
      <c r="H1" s="54">
        <f>Private_Final!Q40</f>
        <v>2020</v>
      </c>
      <c r="I1" s="54">
        <f>Private_Final!R40</f>
        <v>2021</v>
      </c>
      <c r="J1" s="54">
        <f>Private_Final!S40</f>
        <v>2022</v>
      </c>
      <c r="K1" s="54">
        <f>Private_Final!T40</f>
        <v>2023</v>
      </c>
      <c r="L1" s="54">
        <f>Private_Final!U40</f>
        <v>2024</v>
      </c>
      <c r="M1" s="54">
        <f>Private_Final!V40</f>
        <v>2025</v>
      </c>
      <c r="N1" s="54">
        <f>Private_Final!W40</f>
        <v>2026</v>
      </c>
      <c r="O1" s="54">
        <f>Private_Final!X40</f>
        <v>2027</v>
      </c>
      <c r="P1" s="54">
        <f>Private_Final!Y40</f>
        <v>2028</v>
      </c>
      <c r="Q1" s="54">
        <f>Private_Final!Z40</f>
        <v>2029</v>
      </c>
      <c r="R1" s="54">
        <f>Private_Final!AA40</f>
        <v>2030</v>
      </c>
      <c r="S1" s="54">
        <f>Private_Final!AB40</f>
        <v>2031</v>
      </c>
      <c r="T1" s="54">
        <f>Private_Final!AC40</f>
        <v>2032</v>
      </c>
      <c r="U1" s="54">
        <f>Private_Final!AD40</f>
        <v>2033</v>
      </c>
      <c r="V1" s="54">
        <f>Private_Final!AE40</f>
        <v>2034</v>
      </c>
      <c r="W1" s="54">
        <f>Private_Final!AF40</f>
        <v>2035</v>
      </c>
      <c r="X1" s="54">
        <f>Private_Final!AG40</f>
        <v>2036</v>
      </c>
      <c r="Y1" s="54">
        <f>Private_Final!AH40</f>
        <v>2037</v>
      </c>
      <c r="Z1" s="54">
        <f>Private_Final!AI40</f>
        <v>2038</v>
      </c>
      <c r="AA1" s="54">
        <f>Private_Final!AJ40</f>
        <v>2039</v>
      </c>
      <c r="AB1" s="54">
        <f>Private_Final!AK40</f>
        <v>2040</v>
      </c>
      <c r="AC1" s="54">
        <f>Private_Final!AL40</f>
        <v>2041</v>
      </c>
      <c r="AD1" s="54">
        <f>Private_Final!AM40</f>
        <v>2042</v>
      </c>
      <c r="AE1" s="54">
        <f>Private_Final!AN40</f>
        <v>2043</v>
      </c>
      <c r="AF1" s="54">
        <f>Private_Final!AO40</f>
        <v>2044</v>
      </c>
      <c r="AG1" s="54">
        <f>Private_Final!AP40</f>
        <v>2045</v>
      </c>
      <c r="AH1" s="54">
        <f>Private_Final!AQ40</f>
        <v>2046</v>
      </c>
      <c r="AI1" s="54">
        <f>Private_Final!AR40</f>
        <v>2047</v>
      </c>
      <c r="AJ1" s="54">
        <f>Private_Final!AS40</f>
        <v>2048</v>
      </c>
      <c r="AK1" s="54">
        <f>Private_Final!AT40</f>
        <v>2049</v>
      </c>
      <c r="AL1" s="54">
        <f>Private_Final!AU40</f>
        <v>2050</v>
      </c>
    </row>
    <row r="2" spans="1:38" s="156" customFormat="1">
      <c r="A2" t="str">
        <f>Private_Final!B41</f>
        <v>electricity(BTU)</v>
      </c>
      <c r="B2">
        <f>Private_Final!K41</f>
        <v>2049611525777.7576</v>
      </c>
      <c r="C2">
        <f>Private_Final!L41</f>
        <v>2065276490146.6272</v>
      </c>
      <c r="D2">
        <f>Private_Final!M41</f>
        <v>2216966364604.355</v>
      </c>
      <c r="E2">
        <f>Private_Final!N41</f>
        <v>951044657813.97778</v>
      </c>
      <c r="F2">
        <f>Private_Final!O41</f>
        <v>962049160840.25916</v>
      </c>
      <c r="G2">
        <f>Private_Final!P41</f>
        <v>969026167526.99097</v>
      </c>
      <c r="H2">
        <f>Private_Final!Q41</f>
        <v>1040622409495.7484</v>
      </c>
      <c r="I2">
        <f>Private_Final!R41</f>
        <v>1020120685753.0541</v>
      </c>
      <c r="J2">
        <f>Private_Final!S41</f>
        <v>2491345448850.5</v>
      </c>
      <c r="K2">
        <f>Private_Final!T41</f>
        <v>2520387635531.3218</v>
      </c>
      <c r="L2">
        <f>Private_Final!U41</f>
        <v>2547930495480.6548</v>
      </c>
      <c r="M2">
        <f>Private_Final!V41</f>
        <v>2572585873451.9985</v>
      </c>
      <c r="N2">
        <f>Private_Final!W41</f>
        <v>2598786401965.9233</v>
      </c>
      <c r="O2">
        <f>Private_Final!X41</f>
        <v>2626863085237.7563</v>
      </c>
      <c r="P2">
        <f>Private_Final!Y41</f>
        <v>2656496752474.4106</v>
      </c>
      <c r="Q2">
        <f>Private_Final!Z41</f>
        <v>2686631382776.9473</v>
      </c>
      <c r="R2">
        <f>Private_Final!AA41</f>
        <v>2716782357643.2114</v>
      </c>
      <c r="S2">
        <f>Private_Final!AB41</f>
        <v>2746138760237.855</v>
      </c>
      <c r="T2">
        <f>Private_Final!AC41</f>
        <v>2775284690765.0483</v>
      </c>
      <c r="U2">
        <f>Private_Final!AD41</f>
        <v>2804497252778.7158</v>
      </c>
      <c r="V2">
        <f>Private_Final!AE41</f>
        <v>2833916692460.209</v>
      </c>
      <c r="W2">
        <f>Private_Final!AF41</f>
        <v>2864008846378.2124</v>
      </c>
      <c r="X2">
        <f>Private_Final!AG41</f>
        <v>2891320757835.3643</v>
      </c>
      <c r="Y2">
        <f>Private_Final!AH41</f>
        <v>2918921101021.9409</v>
      </c>
      <c r="Z2">
        <f>Private_Final!AI41</f>
        <v>2945463642884.4917</v>
      </c>
      <c r="AA2">
        <f>Private_Final!AJ41</f>
        <v>2970452740918.4702</v>
      </c>
      <c r="AB2">
        <f>Private_Final!AK41</f>
        <v>2993861057978.0796</v>
      </c>
      <c r="AC2">
        <f>Private_Final!AL41</f>
        <v>3015771984048.4932</v>
      </c>
      <c r="AD2">
        <f>Private_Final!AM41</f>
        <v>3036345319324.9863</v>
      </c>
      <c r="AE2">
        <f>Private_Final!AN41</f>
        <v>3055968646144.1143</v>
      </c>
      <c r="AF2">
        <f>Private_Final!AO41</f>
        <v>3074324283206.5732</v>
      </c>
      <c r="AG2">
        <f>Private_Final!AP41</f>
        <v>3091465728554.8345</v>
      </c>
      <c r="AH2">
        <f>Private_Final!AQ41</f>
        <v>3107068509251.3345</v>
      </c>
      <c r="AI2">
        <f>Private_Final!AR41</f>
        <v>3181651778908</v>
      </c>
      <c r="AJ2">
        <f>Private_Final!AS41</f>
        <v>3210977184717.4526</v>
      </c>
      <c r="AK2">
        <f>Private_Final!AT41</f>
        <v>3240472162705.2075</v>
      </c>
      <c r="AL2">
        <f>Private_Final!AU41</f>
        <v>3270134469389.4854</v>
      </c>
    </row>
    <row r="3" spans="1:38" s="156" customFormat="1">
      <c r="A3" t="str">
        <f>Private_Final!B42</f>
        <v>coal(BTU)</v>
      </c>
      <c r="B3">
        <f>Private_Final!K42</f>
        <v>0</v>
      </c>
      <c r="C3">
        <f>Private_Final!L42</f>
        <v>0</v>
      </c>
      <c r="D3">
        <f>Private_Final!M42</f>
        <v>0</v>
      </c>
      <c r="E3">
        <f>Private_Final!N42</f>
        <v>0</v>
      </c>
      <c r="F3">
        <f>Private_Final!O42</f>
        <v>0</v>
      </c>
      <c r="G3">
        <f>Private_Final!P42</f>
        <v>0</v>
      </c>
      <c r="H3">
        <f>Private_Final!Q42</f>
        <v>0</v>
      </c>
      <c r="I3">
        <f>Private_Final!R42</f>
        <v>0</v>
      </c>
      <c r="J3">
        <f>Private_Final!S42</f>
        <v>0</v>
      </c>
      <c r="K3">
        <f>Private_Final!T42</f>
        <v>0</v>
      </c>
      <c r="L3">
        <f>Private_Final!U42</f>
        <v>0</v>
      </c>
      <c r="M3">
        <f>Private_Final!V42</f>
        <v>0</v>
      </c>
      <c r="N3">
        <f>Private_Final!W42</f>
        <v>0</v>
      </c>
      <c r="O3">
        <f>Private_Final!X42</f>
        <v>0</v>
      </c>
      <c r="P3">
        <f>Private_Final!Y42</f>
        <v>0</v>
      </c>
      <c r="Q3">
        <f>Private_Final!Z42</f>
        <v>0</v>
      </c>
      <c r="R3">
        <f>Private_Final!AA42</f>
        <v>0</v>
      </c>
      <c r="S3">
        <f>Private_Final!AB42</f>
        <v>0</v>
      </c>
      <c r="T3">
        <f>Private_Final!AC42</f>
        <v>0</v>
      </c>
      <c r="U3">
        <f>Private_Final!AD42</f>
        <v>0</v>
      </c>
      <c r="V3">
        <f>Private_Final!AE42</f>
        <v>0</v>
      </c>
      <c r="W3">
        <f>Private_Final!AF42</f>
        <v>0</v>
      </c>
      <c r="X3">
        <f>Private_Final!AG42</f>
        <v>0</v>
      </c>
      <c r="Y3">
        <f>Private_Final!AH42</f>
        <v>0</v>
      </c>
      <c r="Z3">
        <f>Private_Final!AI42</f>
        <v>0</v>
      </c>
      <c r="AA3">
        <f>Private_Final!AJ42</f>
        <v>0</v>
      </c>
      <c r="AB3">
        <f>Private_Final!AK42</f>
        <v>0</v>
      </c>
      <c r="AC3">
        <f>Private_Final!AL42</f>
        <v>0</v>
      </c>
      <c r="AD3">
        <f>Private_Final!AM42</f>
        <v>0</v>
      </c>
      <c r="AE3">
        <f>Private_Final!AN42</f>
        <v>0</v>
      </c>
      <c r="AF3">
        <f>Private_Final!AO42</f>
        <v>0</v>
      </c>
      <c r="AG3">
        <f>Private_Final!AP42</f>
        <v>0</v>
      </c>
      <c r="AH3">
        <f>Private_Final!AQ42</f>
        <v>0</v>
      </c>
      <c r="AI3">
        <f>Private_Final!AR42</f>
        <v>0</v>
      </c>
      <c r="AJ3">
        <f>Private_Final!AS42</f>
        <v>0</v>
      </c>
      <c r="AK3">
        <f>Private_Final!AT42</f>
        <v>0</v>
      </c>
      <c r="AL3">
        <f>Private_Final!AU42</f>
        <v>0</v>
      </c>
    </row>
    <row r="4" spans="1:38" s="156" customFormat="1">
      <c r="A4" t="str">
        <f>Private_Final!B43</f>
        <v>natural gas(BTU)</v>
      </c>
      <c r="B4">
        <f>Private_Final!K43</f>
        <v>4273038160.1279054</v>
      </c>
      <c r="C4">
        <f>Private_Final!L43</f>
        <v>9645459327.1461716</v>
      </c>
      <c r="D4">
        <f>Private_Final!M43</f>
        <v>20158561123.485497</v>
      </c>
      <c r="E4">
        <f>Private_Final!N43</f>
        <v>0</v>
      </c>
      <c r="F4">
        <f>Private_Final!O43</f>
        <v>0</v>
      </c>
      <c r="G4">
        <f>Private_Final!P43</f>
        <v>0</v>
      </c>
      <c r="H4">
        <f>Private_Final!Q43</f>
        <v>0</v>
      </c>
      <c r="I4">
        <f>Private_Final!R43</f>
        <v>0</v>
      </c>
      <c r="J4">
        <f>Private_Final!S43</f>
        <v>0</v>
      </c>
      <c r="K4">
        <f>Private_Final!T43</f>
        <v>0</v>
      </c>
      <c r="L4">
        <f>Private_Final!U43</f>
        <v>0</v>
      </c>
      <c r="M4">
        <f>Private_Final!V43</f>
        <v>0</v>
      </c>
      <c r="N4">
        <f>Private_Final!W43</f>
        <v>0</v>
      </c>
      <c r="O4">
        <f>Private_Final!X43</f>
        <v>0</v>
      </c>
      <c r="P4">
        <f>Private_Final!Y43</f>
        <v>0</v>
      </c>
      <c r="Q4">
        <f>Private_Final!Z43</f>
        <v>0</v>
      </c>
      <c r="R4">
        <f>Private_Final!AA43</f>
        <v>0</v>
      </c>
      <c r="S4">
        <f>Private_Final!AB43</f>
        <v>0</v>
      </c>
      <c r="T4">
        <f>Private_Final!AC43</f>
        <v>0</v>
      </c>
      <c r="U4">
        <f>Private_Final!AD43</f>
        <v>0</v>
      </c>
      <c r="V4">
        <f>Private_Final!AE43</f>
        <v>0</v>
      </c>
      <c r="W4">
        <f>Private_Final!AF43</f>
        <v>0</v>
      </c>
      <c r="X4">
        <f>Private_Final!AG43</f>
        <v>0</v>
      </c>
      <c r="Y4">
        <f>Private_Final!AH43</f>
        <v>0</v>
      </c>
      <c r="Z4">
        <f>Private_Final!AI43</f>
        <v>0</v>
      </c>
      <c r="AA4">
        <f>Private_Final!AJ43</f>
        <v>0</v>
      </c>
      <c r="AB4">
        <f>Private_Final!AK43</f>
        <v>0</v>
      </c>
      <c r="AC4">
        <f>Private_Final!AL43</f>
        <v>0</v>
      </c>
      <c r="AD4">
        <f>Private_Final!AM43</f>
        <v>0</v>
      </c>
      <c r="AE4">
        <f>Private_Final!AN43</f>
        <v>0</v>
      </c>
      <c r="AF4">
        <f>Private_Final!AO43</f>
        <v>0</v>
      </c>
      <c r="AG4">
        <f>Private_Final!AP43</f>
        <v>0</v>
      </c>
      <c r="AH4">
        <f>Private_Final!AQ43</f>
        <v>0</v>
      </c>
      <c r="AI4">
        <f>Private_Final!AR43</f>
        <v>0</v>
      </c>
      <c r="AJ4">
        <f>Private_Final!AS43</f>
        <v>0</v>
      </c>
      <c r="AK4">
        <f>Private_Final!AT43</f>
        <v>0</v>
      </c>
      <c r="AL4">
        <f>Private_Final!AU43</f>
        <v>0</v>
      </c>
    </row>
    <row r="5" spans="1:38" s="156" customFormat="1">
      <c r="A5" t="str">
        <f>Private_Final!B44</f>
        <v>petroleum diesel (BTU)</v>
      </c>
      <c r="B5">
        <f>Private_Final!K44</f>
        <v>0</v>
      </c>
      <c r="C5">
        <f>Private_Final!L44</f>
        <v>0</v>
      </c>
      <c r="D5">
        <f>Private_Final!M44</f>
        <v>0</v>
      </c>
      <c r="E5">
        <f>Private_Final!N44</f>
        <v>0</v>
      </c>
      <c r="F5">
        <f>Private_Final!O44</f>
        <v>0</v>
      </c>
      <c r="G5">
        <f>Private_Final!P44</f>
        <v>0</v>
      </c>
      <c r="H5">
        <f>Private_Final!Q44</f>
        <v>0</v>
      </c>
      <c r="I5">
        <f>Private_Final!R44</f>
        <v>0</v>
      </c>
      <c r="J5">
        <f>Private_Final!S44</f>
        <v>0</v>
      </c>
      <c r="K5">
        <f>Private_Final!T44</f>
        <v>0</v>
      </c>
      <c r="L5">
        <f>Private_Final!U44</f>
        <v>0</v>
      </c>
      <c r="M5">
        <f>Private_Final!V44</f>
        <v>0</v>
      </c>
      <c r="N5">
        <f>Private_Final!W44</f>
        <v>0</v>
      </c>
      <c r="O5">
        <f>Private_Final!X44</f>
        <v>0</v>
      </c>
      <c r="P5">
        <f>Private_Final!Y44</f>
        <v>0</v>
      </c>
      <c r="Q5">
        <f>Private_Final!Z44</f>
        <v>0</v>
      </c>
      <c r="R5">
        <f>Private_Final!AA44</f>
        <v>0</v>
      </c>
      <c r="S5">
        <f>Private_Final!AB44</f>
        <v>0</v>
      </c>
      <c r="T5">
        <f>Private_Final!AC44</f>
        <v>0</v>
      </c>
      <c r="U5">
        <f>Private_Final!AD44</f>
        <v>0</v>
      </c>
      <c r="V5">
        <f>Private_Final!AE44</f>
        <v>0</v>
      </c>
      <c r="W5">
        <f>Private_Final!AF44</f>
        <v>0</v>
      </c>
      <c r="X5">
        <f>Private_Final!AG44</f>
        <v>0</v>
      </c>
      <c r="Y5">
        <f>Private_Final!AH44</f>
        <v>0</v>
      </c>
      <c r="Z5">
        <f>Private_Final!AI44</f>
        <v>0</v>
      </c>
      <c r="AA5">
        <f>Private_Final!AJ44</f>
        <v>0</v>
      </c>
      <c r="AB5">
        <f>Private_Final!AK44</f>
        <v>0</v>
      </c>
      <c r="AC5">
        <f>Private_Final!AL44</f>
        <v>0</v>
      </c>
      <c r="AD5">
        <f>Private_Final!AM44</f>
        <v>0</v>
      </c>
      <c r="AE5">
        <f>Private_Final!AN44</f>
        <v>0</v>
      </c>
      <c r="AF5">
        <f>Private_Final!AO44</f>
        <v>0</v>
      </c>
      <c r="AG5">
        <f>Private_Final!AP44</f>
        <v>0</v>
      </c>
      <c r="AH5">
        <f>Private_Final!AQ44</f>
        <v>0</v>
      </c>
      <c r="AI5">
        <f>Private_Final!AR44</f>
        <v>0</v>
      </c>
      <c r="AJ5">
        <f>Private_Final!AS44</f>
        <v>0</v>
      </c>
      <c r="AK5">
        <f>Private_Final!AT44</f>
        <v>0</v>
      </c>
      <c r="AL5">
        <f>Private_Final!AU44</f>
        <v>0</v>
      </c>
    </row>
    <row r="6" spans="1:38" s="156" customFormat="1">
      <c r="A6" t="str">
        <f>Private_Final!B45</f>
        <v>heat (BTU)</v>
      </c>
      <c r="B6">
        <f>Private_Final!K45</f>
        <v>0</v>
      </c>
      <c r="C6">
        <f>Private_Final!L45</f>
        <v>0</v>
      </c>
      <c r="D6">
        <f>Private_Final!M45</f>
        <v>0</v>
      </c>
      <c r="E6">
        <f>Private_Final!N45</f>
        <v>0</v>
      </c>
      <c r="F6">
        <f>Private_Final!O45</f>
        <v>0</v>
      </c>
      <c r="G6">
        <f>Private_Final!P45</f>
        <v>0</v>
      </c>
      <c r="H6">
        <f>Private_Final!Q45</f>
        <v>0</v>
      </c>
      <c r="I6">
        <f>Private_Final!R45</f>
        <v>0</v>
      </c>
      <c r="J6">
        <f>Private_Final!S45</f>
        <v>0</v>
      </c>
      <c r="K6">
        <f>Private_Final!T45</f>
        <v>0</v>
      </c>
      <c r="L6">
        <f>Private_Final!U45</f>
        <v>0</v>
      </c>
      <c r="M6">
        <f>Private_Final!V45</f>
        <v>0</v>
      </c>
      <c r="N6">
        <f>Private_Final!W45</f>
        <v>0</v>
      </c>
      <c r="O6">
        <f>Private_Final!X45</f>
        <v>0</v>
      </c>
      <c r="P6">
        <f>Private_Final!Y45</f>
        <v>0</v>
      </c>
      <c r="Q6">
        <f>Private_Final!Z45</f>
        <v>0</v>
      </c>
      <c r="R6">
        <f>Private_Final!AA45</f>
        <v>0</v>
      </c>
      <c r="S6">
        <f>Private_Final!AB45</f>
        <v>0</v>
      </c>
      <c r="T6">
        <f>Private_Final!AC45</f>
        <v>0</v>
      </c>
      <c r="U6">
        <f>Private_Final!AD45</f>
        <v>0</v>
      </c>
      <c r="V6">
        <f>Private_Final!AE45</f>
        <v>0</v>
      </c>
      <c r="W6">
        <f>Private_Final!AF45</f>
        <v>0</v>
      </c>
      <c r="X6">
        <f>Private_Final!AG45</f>
        <v>0</v>
      </c>
      <c r="Y6">
        <f>Private_Final!AH45</f>
        <v>0</v>
      </c>
      <c r="Z6">
        <f>Private_Final!AI45</f>
        <v>0</v>
      </c>
      <c r="AA6">
        <f>Private_Final!AJ45</f>
        <v>0</v>
      </c>
      <c r="AB6">
        <f>Private_Final!AK45</f>
        <v>0</v>
      </c>
      <c r="AC6">
        <f>Private_Final!AL45</f>
        <v>0</v>
      </c>
      <c r="AD6">
        <f>Private_Final!AM45</f>
        <v>0</v>
      </c>
      <c r="AE6">
        <f>Private_Final!AN45</f>
        <v>0</v>
      </c>
      <c r="AF6">
        <f>Private_Final!AO45</f>
        <v>0</v>
      </c>
      <c r="AG6">
        <f>Private_Final!AP45</f>
        <v>0</v>
      </c>
      <c r="AH6">
        <f>Private_Final!AQ45</f>
        <v>0</v>
      </c>
      <c r="AI6">
        <f>Private_Final!AR45</f>
        <v>0</v>
      </c>
      <c r="AJ6">
        <f>Private_Final!AS45</f>
        <v>0</v>
      </c>
      <c r="AK6">
        <f>Private_Final!AT45</f>
        <v>0</v>
      </c>
      <c r="AL6">
        <f>Private_Final!AU45</f>
        <v>0</v>
      </c>
    </row>
    <row r="7" spans="1:38" s="156" customFormat="1">
      <c r="A7" t="str">
        <f>Private_Final!B46</f>
        <v>biomass (BTU)</v>
      </c>
      <c r="B7">
        <f>Private_Final!K46</f>
        <v>0</v>
      </c>
      <c r="C7">
        <f>Private_Final!L46</f>
        <v>0</v>
      </c>
      <c r="D7">
        <f>Private_Final!M46</f>
        <v>0</v>
      </c>
      <c r="E7">
        <f>Private_Final!N46</f>
        <v>0</v>
      </c>
      <c r="F7">
        <f>Private_Final!O46</f>
        <v>0</v>
      </c>
      <c r="G7">
        <f>Private_Final!P46</f>
        <v>0</v>
      </c>
      <c r="H7">
        <f>Private_Final!Q46</f>
        <v>0</v>
      </c>
      <c r="I7">
        <f>Private_Final!R46</f>
        <v>0</v>
      </c>
      <c r="J7">
        <f>Private_Final!S46</f>
        <v>0</v>
      </c>
      <c r="K7">
        <f>Private_Final!T46</f>
        <v>0</v>
      </c>
      <c r="L7">
        <f>Private_Final!U46</f>
        <v>0</v>
      </c>
      <c r="M7">
        <f>Private_Final!V46</f>
        <v>0</v>
      </c>
      <c r="N7">
        <f>Private_Final!W46</f>
        <v>0</v>
      </c>
      <c r="O7">
        <f>Private_Final!X46</f>
        <v>0</v>
      </c>
      <c r="P7">
        <f>Private_Final!Y46</f>
        <v>0</v>
      </c>
      <c r="Q7">
        <f>Private_Final!Z46</f>
        <v>0</v>
      </c>
      <c r="R7">
        <f>Private_Final!AA46</f>
        <v>0</v>
      </c>
      <c r="S7">
        <f>Private_Final!AB46</f>
        <v>0</v>
      </c>
      <c r="T7">
        <f>Private_Final!AC46</f>
        <v>0</v>
      </c>
      <c r="U7">
        <f>Private_Final!AD46</f>
        <v>0</v>
      </c>
      <c r="V7">
        <f>Private_Final!AE46</f>
        <v>0</v>
      </c>
      <c r="W7">
        <f>Private_Final!AF46</f>
        <v>0</v>
      </c>
      <c r="X7">
        <f>Private_Final!AG46</f>
        <v>0</v>
      </c>
      <c r="Y7">
        <f>Private_Final!AH46</f>
        <v>0</v>
      </c>
      <c r="Z7">
        <f>Private_Final!AI46</f>
        <v>0</v>
      </c>
      <c r="AA7">
        <f>Private_Final!AJ46</f>
        <v>0</v>
      </c>
      <c r="AB7">
        <f>Private_Final!AK46</f>
        <v>0</v>
      </c>
      <c r="AC7">
        <f>Private_Final!AL46</f>
        <v>0</v>
      </c>
      <c r="AD7">
        <f>Private_Final!AM46</f>
        <v>0</v>
      </c>
      <c r="AE7">
        <f>Private_Final!AN46</f>
        <v>0</v>
      </c>
      <c r="AF7">
        <f>Private_Final!AO46</f>
        <v>0</v>
      </c>
      <c r="AG7">
        <f>Private_Final!AP46</f>
        <v>0</v>
      </c>
      <c r="AH7">
        <f>Private_Final!AQ46</f>
        <v>0</v>
      </c>
      <c r="AI7">
        <f>Private_Final!AR46</f>
        <v>0</v>
      </c>
      <c r="AJ7">
        <f>Private_Final!AS46</f>
        <v>0</v>
      </c>
      <c r="AK7">
        <f>Private_Final!AT46</f>
        <v>0</v>
      </c>
      <c r="AL7">
        <f>Private_Final!AU46</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defaultColWidth="8.7265625" defaultRowHeight="14.5"/>
  <cols>
    <col min="1" max="1" width="19.7265625" bestFit="1" customWidth="1"/>
  </cols>
  <sheetData>
    <row r="1" spans="1:38" s="54" customFormat="1">
      <c r="A1" s="54" t="str">
        <f>Public_Final!B22</f>
        <v>Year</v>
      </c>
      <c r="B1" s="54">
        <f>Public_Final!K22</f>
        <v>2014</v>
      </c>
      <c r="C1" s="54">
        <f>Public_Final!L22</f>
        <v>2015</v>
      </c>
      <c r="D1" s="54">
        <f>Public_Final!M22</f>
        <v>2016</v>
      </c>
      <c r="E1" s="54">
        <f>Public_Final!N22</f>
        <v>2017</v>
      </c>
      <c r="F1" s="54">
        <f>Public_Final!O22</f>
        <v>2018</v>
      </c>
      <c r="G1" s="54">
        <f>Public_Final!P22</f>
        <v>2019</v>
      </c>
      <c r="H1" s="54">
        <f>Public_Final!Q22</f>
        <v>2020</v>
      </c>
      <c r="I1" s="54">
        <f>Public_Final!R22</f>
        <v>2021</v>
      </c>
      <c r="J1" s="54">
        <f>Public_Final!S22</f>
        <v>2022</v>
      </c>
      <c r="K1" s="54">
        <f>Public_Final!T22</f>
        <v>2023</v>
      </c>
      <c r="L1" s="54">
        <f>Public_Final!U22</f>
        <v>2024</v>
      </c>
      <c r="M1" s="54">
        <f>Public_Final!V22</f>
        <v>2025</v>
      </c>
      <c r="N1" s="54">
        <f>Public_Final!W22</f>
        <v>2026</v>
      </c>
      <c r="O1" s="54">
        <f>Public_Final!X22</f>
        <v>2027</v>
      </c>
      <c r="P1" s="54">
        <f>Public_Final!Y22</f>
        <v>2028</v>
      </c>
      <c r="Q1" s="54">
        <f>Public_Final!Z22</f>
        <v>2029</v>
      </c>
      <c r="R1" s="54">
        <f>Public_Final!AA22</f>
        <v>2030</v>
      </c>
      <c r="S1" s="54">
        <f>Public_Final!AB22</f>
        <v>2031</v>
      </c>
      <c r="T1" s="54">
        <f>Public_Final!AC22</f>
        <v>2032</v>
      </c>
      <c r="U1" s="54">
        <f>Public_Final!AD22</f>
        <v>2033</v>
      </c>
      <c r="V1" s="54">
        <f>Public_Final!AE22</f>
        <v>2034</v>
      </c>
      <c r="W1" s="54">
        <f>Public_Final!AF22</f>
        <v>2035</v>
      </c>
      <c r="X1" s="54">
        <f>Public_Final!AG22</f>
        <v>2036</v>
      </c>
      <c r="Y1" s="54">
        <f>Public_Final!AH22</f>
        <v>2037</v>
      </c>
      <c r="Z1" s="54">
        <f>Public_Final!AI22</f>
        <v>2038</v>
      </c>
      <c r="AA1" s="54">
        <f>Public_Final!AJ22</f>
        <v>2039</v>
      </c>
      <c r="AB1" s="54">
        <f>Public_Final!AK22</f>
        <v>2040</v>
      </c>
      <c r="AC1" s="54">
        <f>Public_Final!AL22</f>
        <v>2041</v>
      </c>
      <c r="AD1" s="54">
        <f>Public_Final!AM22</f>
        <v>2042</v>
      </c>
      <c r="AE1" s="54">
        <f>Public_Final!AN22</f>
        <v>2043</v>
      </c>
      <c r="AF1" s="54">
        <f>Public_Final!AO22</f>
        <v>2044</v>
      </c>
      <c r="AG1" s="54">
        <f>Public_Final!AP22</f>
        <v>2045</v>
      </c>
      <c r="AH1" s="54">
        <f>Public_Final!AQ22</f>
        <v>2046</v>
      </c>
      <c r="AI1" s="54">
        <f>Public_Final!AR22</f>
        <v>2047</v>
      </c>
      <c r="AJ1" s="54">
        <f>Public_Final!AS22</f>
        <v>2048</v>
      </c>
      <c r="AK1" s="54">
        <f>Public_Final!AT22</f>
        <v>2049</v>
      </c>
      <c r="AL1" s="54">
        <f>Public_Final!AU22</f>
        <v>2050</v>
      </c>
    </row>
    <row r="2" spans="1:38">
      <c r="A2" t="str">
        <f>Public_Final!B23</f>
        <v>electricity(BTU)</v>
      </c>
      <c r="B2">
        <f>Public_Final!K23</f>
        <v>0</v>
      </c>
      <c r="C2">
        <f>Public_Final!L23</f>
        <v>0</v>
      </c>
      <c r="D2">
        <f>Public_Final!M23</f>
        <v>0</v>
      </c>
      <c r="E2">
        <f>Public_Final!N23</f>
        <v>0</v>
      </c>
      <c r="F2">
        <f>Public_Final!O23</f>
        <v>0</v>
      </c>
      <c r="G2">
        <f>Public_Final!P23</f>
        <v>0</v>
      </c>
      <c r="H2">
        <f>Public_Final!Q23</f>
        <v>0</v>
      </c>
      <c r="I2">
        <f>Public_Final!R23</f>
        <v>0</v>
      </c>
      <c r="J2">
        <f>Public_Final!S23</f>
        <v>0</v>
      </c>
      <c r="K2">
        <f>Public_Final!T23</f>
        <v>0</v>
      </c>
      <c r="L2">
        <f>Public_Final!U23</f>
        <v>0</v>
      </c>
      <c r="M2">
        <f>Public_Final!V23</f>
        <v>0</v>
      </c>
      <c r="N2">
        <f>Public_Final!W23</f>
        <v>0</v>
      </c>
      <c r="O2">
        <f>Public_Final!X23</f>
        <v>0</v>
      </c>
      <c r="P2">
        <f>Public_Final!Y23</f>
        <v>0</v>
      </c>
      <c r="Q2">
        <f>Public_Final!Z23</f>
        <v>0</v>
      </c>
      <c r="R2">
        <f>Public_Final!AA23</f>
        <v>0</v>
      </c>
      <c r="S2">
        <f>Public_Final!AB23</f>
        <v>0</v>
      </c>
      <c r="T2">
        <f>Public_Final!AC23</f>
        <v>0</v>
      </c>
      <c r="U2">
        <f>Public_Final!AD23</f>
        <v>0</v>
      </c>
      <c r="V2">
        <f>Public_Final!AE23</f>
        <v>0</v>
      </c>
      <c r="W2">
        <f>Public_Final!AF23</f>
        <v>0</v>
      </c>
      <c r="X2">
        <f>Public_Final!AG23</f>
        <v>0</v>
      </c>
      <c r="Y2">
        <f>Public_Final!AH23</f>
        <v>0</v>
      </c>
      <c r="Z2">
        <f>Public_Final!AI23</f>
        <v>0</v>
      </c>
      <c r="AA2">
        <f>Public_Final!AJ23</f>
        <v>0</v>
      </c>
      <c r="AB2">
        <f>Public_Final!AK23</f>
        <v>0</v>
      </c>
      <c r="AC2">
        <f>Public_Final!AL23</f>
        <v>0</v>
      </c>
      <c r="AD2">
        <f>Public_Final!AM23</f>
        <v>0</v>
      </c>
      <c r="AE2">
        <f>Public_Final!AN23</f>
        <v>0</v>
      </c>
      <c r="AF2">
        <f>Public_Final!AO23</f>
        <v>0</v>
      </c>
      <c r="AG2">
        <f>Public_Final!AP23</f>
        <v>0</v>
      </c>
      <c r="AH2">
        <f>Public_Final!AQ23</f>
        <v>0</v>
      </c>
      <c r="AI2">
        <f>Public_Final!AR23</f>
        <v>0</v>
      </c>
      <c r="AJ2">
        <f>Public_Final!AS23</f>
        <v>0</v>
      </c>
      <c r="AK2">
        <f>Public_Final!AT23</f>
        <v>0</v>
      </c>
      <c r="AL2">
        <f>Public_Final!AU23</f>
        <v>0</v>
      </c>
    </row>
    <row r="3" spans="1:38">
      <c r="A3" t="str">
        <f>Public_Final!B24</f>
        <v>coal(BTU)</v>
      </c>
      <c r="B3">
        <f>Public_Final!K24</f>
        <v>0</v>
      </c>
      <c r="C3">
        <f>Public_Final!L24</f>
        <v>0</v>
      </c>
      <c r="D3">
        <f>Public_Final!M24</f>
        <v>0</v>
      </c>
      <c r="E3">
        <f>Public_Final!N24</f>
        <v>0</v>
      </c>
      <c r="F3">
        <f>Public_Final!O24</f>
        <v>0</v>
      </c>
      <c r="G3">
        <f>Public_Final!P24</f>
        <v>0</v>
      </c>
      <c r="H3">
        <f>Public_Final!Q24</f>
        <v>0</v>
      </c>
      <c r="I3">
        <f>Public_Final!R24</f>
        <v>0</v>
      </c>
      <c r="J3">
        <f>Public_Final!S24</f>
        <v>0</v>
      </c>
      <c r="K3">
        <f>Public_Final!T24</f>
        <v>0</v>
      </c>
      <c r="L3">
        <f>Public_Final!U24</f>
        <v>0</v>
      </c>
      <c r="M3">
        <f>Public_Final!V24</f>
        <v>0</v>
      </c>
      <c r="N3">
        <f>Public_Final!W24</f>
        <v>0</v>
      </c>
      <c r="O3">
        <f>Public_Final!X24</f>
        <v>0</v>
      </c>
      <c r="P3">
        <f>Public_Final!Y24</f>
        <v>0</v>
      </c>
      <c r="Q3">
        <f>Public_Final!Z24</f>
        <v>0</v>
      </c>
      <c r="R3">
        <f>Public_Final!AA24</f>
        <v>0</v>
      </c>
      <c r="S3">
        <f>Public_Final!AB24</f>
        <v>0</v>
      </c>
      <c r="T3">
        <f>Public_Final!AC24</f>
        <v>0</v>
      </c>
      <c r="U3">
        <f>Public_Final!AD24</f>
        <v>0</v>
      </c>
      <c r="V3">
        <f>Public_Final!AE24</f>
        <v>0</v>
      </c>
      <c r="W3">
        <f>Public_Final!AF24</f>
        <v>0</v>
      </c>
      <c r="X3">
        <f>Public_Final!AG24</f>
        <v>0</v>
      </c>
      <c r="Y3">
        <f>Public_Final!AH24</f>
        <v>0</v>
      </c>
      <c r="Z3">
        <f>Public_Final!AI24</f>
        <v>0</v>
      </c>
      <c r="AA3">
        <f>Public_Final!AJ24</f>
        <v>0</v>
      </c>
      <c r="AB3">
        <f>Public_Final!AK24</f>
        <v>0</v>
      </c>
      <c r="AC3">
        <f>Public_Final!AL24</f>
        <v>0</v>
      </c>
      <c r="AD3">
        <f>Public_Final!AM24</f>
        <v>0</v>
      </c>
      <c r="AE3">
        <f>Public_Final!AN24</f>
        <v>0</v>
      </c>
      <c r="AF3">
        <f>Public_Final!AO24</f>
        <v>0</v>
      </c>
      <c r="AG3">
        <f>Public_Final!AP24</f>
        <v>0</v>
      </c>
      <c r="AH3">
        <f>Public_Final!AQ24</f>
        <v>0</v>
      </c>
      <c r="AI3">
        <f>Public_Final!AR24</f>
        <v>0</v>
      </c>
      <c r="AJ3">
        <f>Public_Final!AS24</f>
        <v>0</v>
      </c>
      <c r="AK3">
        <f>Public_Final!AT24</f>
        <v>0</v>
      </c>
      <c r="AL3">
        <f>Public_Final!AU24</f>
        <v>0</v>
      </c>
    </row>
    <row r="4" spans="1:38">
      <c r="A4" t="str">
        <f>Public_Final!B25</f>
        <v>natural gas(BTU)</v>
      </c>
      <c r="B4">
        <f>Public_Final!K25</f>
        <v>0</v>
      </c>
      <c r="C4">
        <f>Public_Final!L25</f>
        <v>0</v>
      </c>
      <c r="D4">
        <f>Public_Final!M25</f>
        <v>0</v>
      </c>
      <c r="E4">
        <f>Public_Final!N25</f>
        <v>0</v>
      </c>
      <c r="F4">
        <f>Public_Final!O25</f>
        <v>0</v>
      </c>
      <c r="G4">
        <f>Public_Final!P25</f>
        <v>0</v>
      </c>
      <c r="H4">
        <f>Public_Final!Q25</f>
        <v>0</v>
      </c>
      <c r="I4">
        <f>Public_Final!R25</f>
        <v>0</v>
      </c>
      <c r="J4">
        <f>Public_Final!S25</f>
        <v>0</v>
      </c>
      <c r="K4">
        <f>Public_Final!T25</f>
        <v>0</v>
      </c>
      <c r="L4">
        <f>Public_Final!U25</f>
        <v>0</v>
      </c>
      <c r="M4">
        <f>Public_Final!V25</f>
        <v>0</v>
      </c>
      <c r="N4">
        <f>Public_Final!W25</f>
        <v>0</v>
      </c>
      <c r="O4">
        <f>Public_Final!X25</f>
        <v>0</v>
      </c>
      <c r="P4">
        <f>Public_Final!Y25</f>
        <v>0</v>
      </c>
      <c r="Q4">
        <f>Public_Final!Z25</f>
        <v>0</v>
      </c>
      <c r="R4">
        <f>Public_Final!AA25</f>
        <v>0</v>
      </c>
      <c r="S4">
        <f>Public_Final!AB25</f>
        <v>0</v>
      </c>
      <c r="T4">
        <f>Public_Final!AC25</f>
        <v>0</v>
      </c>
      <c r="U4">
        <f>Public_Final!AD25</f>
        <v>0</v>
      </c>
      <c r="V4">
        <f>Public_Final!AE25</f>
        <v>0</v>
      </c>
      <c r="W4">
        <f>Public_Final!AF25</f>
        <v>0</v>
      </c>
      <c r="X4">
        <f>Public_Final!AG25</f>
        <v>0</v>
      </c>
      <c r="Y4">
        <f>Public_Final!AH25</f>
        <v>0</v>
      </c>
      <c r="Z4">
        <f>Public_Final!AI25</f>
        <v>0</v>
      </c>
      <c r="AA4">
        <f>Public_Final!AJ25</f>
        <v>0</v>
      </c>
      <c r="AB4">
        <f>Public_Final!AK25</f>
        <v>0</v>
      </c>
      <c r="AC4">
        <f>Public_Final!AL25</f>
        <v>0</v>
      </c>
      <c r="AD4">
        <f>Public_Final!AM25</f>
        <v>0</v>
      </c>
      <c r="AE4">
        <f>Public_Final!AN25</f>
        <v>0</v>
      </c>
      <c r="AF4">
        <f>Public_Final!AO25</f>
        <v>0</v>
      </c>
      <c r="AG4">
        <f>Public_Final!AP25</f>
        <v>0</v>
      </c>
      <c r="AH4">
        <f>Public_Final!AQ25</f>
        <v>0</v>
      </c>
      <c r="AI4">
        <f>Public_Final!AR25</f>
        <v>0</v>
      </c>
      <c r="AJ4">
        <f>Public_Final!AS25</f>
        <v>0</v>
      </c>
      <c r="AK4">
        <f>Public_Final!AT25</f>
        <v>0</v>
      </c>
      <c r="AL4">
        <f>Public_Final!AU25</f>
        <v>0</v>
      </c>
    </row>
    <row r="5" spans="1:38">
      <c r="A5" t="str">
        <f>Public_Final!B26</f>
        <v>petroleum diesel (BTU)</v>
      </c>
      <c r="B5">
        <f>Public_Final!K26</f>
        <v>0</v>
      </c>
      <c r="C5">
        <f>Public_Final!L26</f>
        <v>0</v>
      </c>
      <c r="D5">
        <f>Public_Final!M26</f>
        <v>0</v>
      </c>
      <c r="E5">
        <f>Public_Final!N26</f>
        <v>0</v>
      </c>
      <c r="F5">
        <f>Public_Final!O26</f>
        <v>0</v>
      </c>
      <c r="G5">
        <f>Public_Final!P26</f>
        <v>0</v>
      </c>
      <c r="H5">
        <f>Public_Final!Q26</f>
        <v>0</v>
      </c>
      <c r="I5">
        <f>Public_Final!R26</f>
        <v>0</v>
      </c>
      <c r="J5">
        <f>Public_Final!S26</f>
        <v>0</v>
      </c>
      <c r="K5">
        <f>Public_Final!T26</f>
        <v>0</v>
      </c>
      <c r="L5">
        <f>Public_Final!U26</f>
        <v>0</v>
      </c>
      <c r="M5">
        <f>Public_Final!V26</f>
        <v>0</v>
      </c>
      <c r="N5">
        <f>Public_Final!W26</f>
        <v>0</v>
      </c>
      <c r="O5">
        <f>Public_Final!X26</f>
        <v>0</v>
      </c>
      <c r="P5">
        <f>Public_Final!Y26</f>
        <v>0</v>
      </c>
      <c r="Q5">
        <f>Public_Final!Z26</f>
        <v>0</v>
      </c>
      <c r="R5">
        <f>Public_Final!AA26</f>
        <v>0</v>
      </c>
      <c r="S5">
        <f>Public_Final!AB26</f>
        <v>0</v>
      </c>
      <c r="T5">
        <f>Public_Final!AC26</f>
        <v>0</v>
      </c>
      <c r="U5">
        <f>Public_Final!AD26</f>
        <v>0</v>
      </c>
      <c r="V5">
        <f>Public_Final!AE26</f>
        <v>0</v>
      </c>
      <c r="W5">
        <f>Public_Final!AF26</f>
        <v>0</v>
      </c>
      <c r="X5">
        <f>Public_Final!AG26</f>
        <v>0</v>
      </c>
      <c r="Y5">
        <f>Public_Final!AH26</f>
        <v>0</v>
      </c>
      <c r="Z5">
        <f>Public_Final!AI26</f>
        <v>0</v>
      </c>
      <c r="AA5">
        <f>Public_Final!AJ26</f>
        <v>0</v>
      </c>
      <c r="AB5">
        <f>Public_Final!AK26</f>
        <v>0</v>
      </c>
      <c r="AC5">
        <f>Public_Final!AL26</f>
        <v>0</v>
      </c>
      <c r="AD5">
        <f>Public_Final!AM26</f>
        <v>0</v>
      </c>
      <c r="AE5">
        <f>Public_Final!AN26</f>
        <v>0</v>
      </c>
      <c r="AF5">
        <f>Public_Final!AO26</f>
        <v>0</v>
      </c>
      <c r="AG5">
        <f>Public_Final!AP26</f>
        <v>0</v>
      </c>
      <c r="AH5">
        <f>Public_Final!AQ26</f>
        <v>0</v>
      </c>
      <c r="AI5">
        <f>Public_Final!AR26</f>
        <v>0</v>
      </c>
      <c r="AJ5">
        <f>Public_Final!AS26</f>
        <v>0</v>
      </c>
      <c r="AK5">
        <f>Public_Final!AT26</f>
        <v>0</v>
      </c>
      <c r="AL5">
        <f>Public_Final!AU26</f>
        <v>0</v>
      </c>
    </row>
    <row r="6" spans="1:38">
      <c r="A6" t="str">
        <f>Public_Final!B27</f>
        <v>heat (BTU)</v>
      </c>
      <c r="B6">
        <f>Public_Final!K27</f>
        <v>0</v>
      </c>
      <c r="C6">
        <f>Public_Final!L27</f>
        <v>0</v>
      </c>
      <c r="D6">
        <f>Public_Final!M27</f>
        <v>0</v>
      </c>
      <c r="E6">
        <f>Public_Final!N27</f>
        <v>0</v>
      </c>
      <c r="F6">
        <f>Public_Final!O27</f>
        <v>0</v>
      </c>
      <c r="G6">
        <f>Public_Final!P27</f>
        <v>0</v>
      </c>
      <c r="H6">
        <f>Public_Final!Q27</f>
        <v>0</v>
      </c>
      <c r="I6">
        <f>Public_Final!R27</f>
        <v>0</v>
      </c>
      <c r="J6">
        <f>Public_Final!S27</f>
        <v>0</v>
      </c>
      <c r="K6">
        <f>Public_Final!T27</f>
        <v>0</v>
      </c>
      <c r="L6">
        <f>Public_Final!U27</f>
        <v>0</v>
      </c>
      <c r="M6">
        <f>Public_Final!V27</f>
        <v>0</v>
      </c>
      <c r="N6">
        <f>Public_Final!W27</f>
        <v>0</v>
      </c>
      <c r="O6">
        <f>Public_Final!X27</f>
        <v>0</v>
      </c>
      <c r="P6">
        <f>Public_Final!Y27</f>
        <v>0</v>
      </c>
      <c r="Q6">
        <f>Public_Final!Z27</f>
        <v>0</v>
      </c>
      <c r="R6">
        <f>Public_Final!AA27</f>
        <v>0</v>
      </c>
      <c r="S6">
        <f>Public_Final!AB27</f>
        <v>0</v>
      </c>
      <c r="T6">
        <f>Public_Final!AC27</f>
        <v>0</v>
      </c>
      <c r="U6">
        <f>Public_Final!AD27</f>
        <v>0</v>
      </c>
      <c r="V6">
        <f>Public_Final!AE27</f>
        <v>0</v>
      </c>
      <c r="W6">
        <f>Public_Final!AF27</f>
        <v>0</v>
      </c>
      <c r="X6">
        <f>Public_Final!AG27</f>
        <v>0</v>
      </c>
      <c r="Y6">
        <f>Public_Final!AH27</f>
        <v>0</v>
      </c>
      <c r="Z6">
        <f>Public_Final!AI27</f>
        <v>0</v>
      </c>
      <c r="AA6">
        <f>Public_Final!AJ27</f>
        <v>0</v>
      </c>
      <c r="AB6">
        <f>Public_Final!AK27</f>
        <v>0</v>
      </c>
      <c r="AC6">
        <f>Public_Final!AL27</f>
        <v>0</v>
      </c>
      <c r="AD6">
        <f>Public_Final!AM27</f>
        <v>0</v>
      </c>
      <c r="AE6">
        <f>Public_Final!AN27</f>
        <v>0</v>
      </c>
      <c r="AF6">
        <f>Public_Final!AO27</f>
        <v>0</v>
      </c>
      <c r="AG6">
        <f>Public_Final!AP27</f>
        <v>0</v>
      </c>
      <c r="AH6">
        <f>Public_Final!AQ27</f>
        <v>0</v>
      </c>
      <c r="AI6">
        <f>Public_Final!AR27</f>
        <v>0</v>
      </c>
      <c r="AJ6">
        <f>Public_Final!AS27</f>
        <v>0</v>
      </c>
      <c r="AK6">
        <f>Public_Final!AT27</f>
        <v>0</v>
      </c>
      <c r="AL6">
        <f>Public_Final!AU27</f>
        <v>0</v>
      </c>
    </row>
    <row r="7" spans="1:38">
      <c r="A7" t="str">
        <f>Public_Final!B28</f>
        <v>biomass (BTU)</v>
      </c>
      <c r="B7">
        <f>Public_Final!K28</f>
        <v>0</v>
      </c>
      <c r="C7">
        <f>Public_Final!L28</f>
        <v>0</v>
      </c>
      <c r="D7">
        <f>Public_Final!M28</f>
        <v>0</v>
      </c>
      <c r="E7">
        <f>Public_Final!N28</f>
        <v>0</v>
      </c>
      <c r="F7">
        <f>Public_Final!O28</f>
        <v>0</v>
      </c>
      <c r="G7">
        <f>Public_Final!P28</f>
        <v>0</v>
      </c>
      <c r="H7">
        <f>Public_Final!Q28</f>
        <v>0</v>
      </c>
      <c r="I7">
        <f>Public_Final!R28</f>
        <v>0</v>
      </c>
      <c r="J7">
        <f>Public_Final!S28</f>
        <v>0</v>
      </c>
      <c r="K7">
        <f>Public_Final!T28</f>
        <v>0</v>
      </c>
      <c r="L7">
        <f>Public_Final!U28</f>
        <v>0</v>
      </c>
      <c r="M7">
        <f>Public_Final!V28</f>
        <v>0</v>
      </c>
      <c r="N7">
        <f>Public_Final!W28</f>
        <v>0</v>
      </c>
      <c r="O7">
        <f>Public_Final!X28</f>
        <v>0</v>
      </c>
      <c r="P7">
        <f>Public_Final!Y28</f>
        <v>0</v>
      </c>
      <c r="Q7">
        <f>Public_Final!Z28</f>
        <v>0</v>
      </c>
      <c r="R7">
        <f>Public_Final!AA28</f>
        <v>0</v>
      </c>
      <c r="S7">
        <f>Public_Final!AB28</f>
        <v>0</v>
      </c>
      <c r="T7">
        <f>Public_Final!AC28</f>
        <v>0</v>
      </c>
      <c r="U7">
        <f>Public_Final!AD28</f>
        <v>0</v>
      </c>
      <c r="V7">
        <f>Public_Final!AE28</f>
        <v>0</v>
      </c>
      <c r="W7">
        <f>Public_Final!AF28</f>
        <v>0</v>
      </c>
      <c r="X7">
        <f>Public_Final!AG28</f>
        <v>0</v>
      </c>
      <c r="Y7">
        <f>Public_Final!AH28</f>
        <v>0</v>
      </c>
      <c r="Z7">
        <f>Public_Final!AI28</f>
        <v>0</v>
      </c>
      <c r="AA7">
        <f>Public_Final!AJ28</f>
        <v>0</v>
      </c>
      <c r="AB7">
        <f>Public_Final!AK28</f>
        <v>0</v>
      </c>
      <c r="AC7">
        <f>Public_Final!AL28</f>
        <v>0</v>
      </c>
      <c r="AD7">
        <f>Public_Final!AM28</f>
        <v>0</v>
      </c>
      <c r="AE7">
        <f>Public_Final!AN28</f>
        <v>0</v>
      </c>
      <c r="AF7">
        <f>Public_Final!AO28</f>
        <v>0</v>
      </c>
      <c r="AG7">
        <f>Public_Final!AP28</f>
        <v>0</v>
      </c>
      <c r="AH7">
        <f>Public_Final!AQ28</f>
        <v>0</v>
      </c>
      <c r="AI7">
        <f>Public_Final!AR28</f>
        <v>0</v>
      </c>
      <c r="AJ7">
        <f>Public_Final!AS28</f>
        <v>0</v>
      </c>
      <c r="AK7">
        <f>Public_Final!AT28</f>
        <v>0</v>
      </c>
      <c r="AL7">
        <f>Public_Final!AU28</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defaultColWidth="8.7265625" defaultRowHeight="14.5"/>
  <cols>
    <col min="1" max="1" width="19.7265625" bestFit="1" customWidth="1"/>
  </cols>
  <sheetData>
    <row r="1" spans="1:38" s="54" customFormat="1">
      <c r="A1" s="54" t="str">
        <f>Public_Final!B13</f>
        <v>Year</v>
      </c>
      <c r="B1" s="54">
        <f>Public_Final!K13</f>
        <v>2014</v>
      </c>
      <c r="C1" s="54">
        <f>Public_Final!L13</f>
        <v>2015</v>
      </c>
      <c r="D1" s="54">
        <f>Public_Final!M13</f>
        <v>2016</v>
      </c>
      <c r="E1" s="54">
        <f>Public_Final!N13</f>
        <v>2017</v>
      </c>
      <c r="F1" s="54">
        <f>Public_Final!O13</f>
        <v>2018</v>
      </c>
      <c r="G1" s="54">
        <f>Public_Final!P13</f>
        <v>2019</v>
      </c>
      <c r="H1" s="54">
        <f>Public_Final!Q13</f>
        <v>2020</v>
      </c>
      <c r="I1" s="54">
        <f>Public_Final!R13</f>
        <v>2021</v>
      </c>
      <c r="J1" s="54">
        <f>Public_Final!S13</f>
        <v>2022</v>
      </c>
      <c r="K1" s="54">
        <f>Public_Final!T13</f>
        <v>2023</v>
      </c>
      <c r="L1" s="54">
        <f>Public_Final!U13</f>
        <v>2024</v>
      </c>
      <c r="M1" s="54">
        <f>Public_Final!V13</f>
        <v>2025</v>
      </c>
      <c r="N1" s="54">
        <f>Public_Final!W13</f>
        <v>2026</v>
      </c>
      <c r="O1" s="54">
        <f>Public_Final!X13</f>
        <v>2027</v>
      </c>
      <c r="P1" s="54">
        <f>Public_Final!Y13</f>
        <v>2028</v>
      </c>
      <c r="Q1" s="54">
        <f>Public_Final!Z13</f>
        <v>2029</v>
      </c>
      <c r="R1" s="54">
        <f>Public_Final!AA13</f>
        <v>2030</v>
      </c>
      <c r="S1" s="54">
        <f>Public_Final!AB13</f>
        <v>2031</v>
      </c>
      <c r="T1" s="54">
        <f>Public_Final!AC13</f>
        <v>2032</v>
      </c>
      <c r="U1" s="54">
        <f>Public_Final!AD13</f>
        <v>2033</v>
      </c>
      <c r="V1" s="54">
        <f>Public_Final!AE13</f>
        <v>2034</v>
      </c>
      <c r="W1" s="54">
        <f>Public_Final!AF13</f>
        <v>2035</v>
      </c>
      <c r="X1" s="54">
        <f>Public_Final!AG13</f>
        <v>2036</v>
      </c>
      <c r="Y1" s="54">
        <f>Public_Final!AH13</f>
        <v>2037</v>
      </c>
      <c r="Z1" s="54">
        <f>Public_Final!AI13</f>
        <v>2038</v>
      </c>
      <c r="AA1" s="54">
        <f>Public_Final!AJ13</f>
        <v>2039</v>
      </c>
      <c r="AB1" s="54">
        <f>Public_Final!AK13</f>
        <v>2040</v>
      </c>
      <c r="AC1" s="54">
        <f>Public_Final!AL13</f>
        <v>2041</v>
      </c>
      <c r="AD1" s="54">
        <f>Public_Final!AM13</f>
        <v>2042</v>
      </c>
      <c r="AE1" s="54">
        <f>Public_Final!AN13</f>
        <v>2043</v>
      </c>
      <c r="AF1" s="54">
        <f>Public_Final!AO13</f>
        <v>2044</v>
      </c>
      <c r="AG1" s="54">
        <f>Public_Final!AP13</f>
        <v>2045</v>
      </c>
      <c r="AH1" s="54">
        <f>Public_Final!AQ13</f>
        <v>2046</v>
      </c>
      <c r="AI1" s="54">
        <f>Public_Final!AR13</f>
        <v>2047</v>
      </c>
      <c r="AJ1" s="54">
        <f>Public_Final!AS13</f>
        <v>2048</v>
      </c>
      <c r="AK1" s="54">
        <f>Public_Final!AT13</f>
        <v>2049</v>
      </c>
      <c r="AL1" s="54">
        <f>Public_Final!AU13</f>
        <v>2050</v>
      </c>
    </row>
    <row r="2" spans="1:38">
      <c r="A2" t="str">
        <f>Public_Final!B14</f>
        <v>electricity(BTU)</v>
      </c>
      <c r="B2">
        <f>Public_Final!K14</f>
        <v>3574456436777.856</v>
      </c>
      <c r="C2">
        <f>Public_Final!L14</f>
        <v>3653305537569.1113</v>
      </c>
      <c r="D2">
        <f>Public_Final!M14</f>
        <v>3850465301338.604</v>
      </c>
      <c r="E2">
        <f>Public_Final!N14</f>
        <v>3966211642821.2754</v>
      </c>
      <c r="F2">
        <f>Public_Final!O14</f>
        <v>4008513147114.2798</v>
      </c>
      <c r="G2">
        <f>Public_Final!P14</f>
        <v>3967614103007.1421</v>
      </c>
      <c r="H2">
        <f>Public_Final!Q14</f>
        <v>4466299015186.5049</v>
      </c>
      <c r="I2">
        <f>Public_Final!R14</f>
        <v>4620414222468.2158</v>
      </c>
      <c r="J2">
        <f>Public_Final!S14</f>
        <v>3328542007422.2344</v>
      </c>
      <c r="K2">
        <f>Public_Final!T14</f>
        <v>3347918039296.9673</v>
      </c>
      <c r="L2">
        <f>Public_Final!U14</f>
        <v>3362440285503.9292</v>
      </c>
      <c r="M2">
        <f>Public_Final!V14</f>
        <v>3370224130970.9028</v>
      </c>
      <c r="N2">
        <f>Public_Final!W14</f>
        <v>3377014661627.4849</v>
      </c>
      <c r="O2">
        <f>Public_Final!X14</f>
        <v>3383084576797.8745</v>
      </c>
      <c r="P2">
        <f>Public_Final!Y14</f>
        <v>3387849887406.1357</v>
      </c>
      <c r="Q2">
        <f>Public_Final!Z14</f>
        <v>3389801154034.2778</v>
      </c>
      <c r="R2">
        <f>Public_Final!AA14</f>
        <v>3388191812273.8188</v>
      </c>
      <c r="S2">
        <f>Public_Final!AB14</f>
        <v>3381898639536.4888</v>
      </c>
      <c r="T2">
        <f>Public_Final!AC14</f>
        <v>3371545006116.4321</v>
      </c>
      <c r="U2">
        <f>Public_Final!AD14</f>
        <v>3357348247985.1416</v>
      </c>
      <c r="V2">
        <f>Public_Final!AE14</f>
        <v>3339342801554.5933</v>
      </c>
      <c r="W2">
        <f>Public_Final!AF14</f>
        <v>3317926518086.313</v>
      </c>
      <c r="X2">
        <f>Public_Final!AG14</f>
        <v>3288996801971.2295</v>
      </c>
      <c r="Y2">
        <f>Public_Final!AH14</f>
        <v>3256023655423.8057</v>
      </c>
      <c r="Z2">
        <f>Public_Final!AI14</f>
        <v>3217386388471.9561</v>
      </c>
      <c r="AA2">
        <f>Public_Final!AJ14</f>
        <v>3172499306494.6021</v>
      </c>
      <c r="AB2">
        <f>Public_Final!AK14</f>
        <v>3121320241539.6128</v>
      </c>
      <c r="AC2">
        <f>Public_Final!AL14</f>
        <v>3063930801434.1509</v>
      </c>
      <c r="AD2">
        <f>Public_Final!AM14</f>
        <v>3000487562713.8638</v>
      </c>
      <c r="AE2">
        <f>Public_Final!AN14</f>
        <v>2931355383982.2607</v>
      </c>
      <c r="AF2">
        <f>Public_Final!AO14</f>
        <v>2856204436619.4546</v>
      </c>
      <c r="AG2">
        <f>Public_Final!AP14</f>
        <v>2775082599037.6694</v>
      </c>
      <c r="AH2">
        <f>Public_Final!AQ14</f>
        <v>2687710879940.749</v>
      </c>
      <c r="AI2">
        <f>Public_Final!AR14</f>
        <v>2644431279804.4927</v>
      </c>
      <c r="AJ2">
        <f>Public_Final!AS14</f>
        <v>2555939179305.6724</v>
      </c>
      <c r="AK2">
        <f>Public_Final!AT14</f>
        <v>2461345493017.0337</v>
      </c>
      <c r="AL2">
        <f>Public_Final!AU14</f>
        <v>2360458757827.9155</v>
      </c>
    </row>
    <row r="3" spans="1:38">
      <c r="A3" t="str">
        <f>Public_Final!B15</f>
        <v>coal(BTU)</v>
      </c>
      <c r="B3">
        <f>Public_Final!K15</f>
        <v>0</v>
      </c>
      <c r="C3">
        <f>Public_Final!L15</f>
        <v>0</v>
      </c>
      <c r="D3">
        <f>Public_Final!M15</f>
        <v>0</v>
      </c>
      <c r="E3">
        <f>Public_Final!N15</f>
        <v>0</v>
      </c>
      <c r="F3">
        <f>Public_Final!O15</f>
        <v>0</v>
      </c>
      <c r="G3">
        <f>Public_Final!P15</f>
        <v>0</v>
      </c>
      <c r="H3">
        <f>Public_Final!Q15</f>
        <v>0</v>
      </c>
      <c r="I3">
        <f>Public_Final!R15</f>
        <v>0</v>
      </c>
      <c r="J3">
        <f>Public_Final!S15</f>
        <v>0</v>
      </c>
      <c r="K3">
        <f>Public_Final!T15</f>
        <v>0</v>
      </c>
      <c r="L3">
        <f>Public_Final!U15</f>
        <v>0</v>
      </c>
      <c r="M3">
        <f>Public_Final!V15</f>
        <v>0</v>
      </c>
      <c r="N3">
        <f>Public_Final!W15</f>
        <v>0</v>
      </c>
      <c r="O3">
        <f>Public_Final!X15</f>
        <v>0</v>
      </c>
      <c r="P3">
        <f>Public_Final!Y15</f>
        <v>0</v>
      </c>
      <c r="Q3">
        <f>Public_Final!Z15</f>
        <v>0</v>
      </c>
      <c r="R3">
        <f>Public_Final!AA15</f>
        <v>0</v>
      </c>
      <c r="S3">
        <f>Public_Final!AB15</f>
        <v>0</v>
      </c>
      <c r="T3">
        <f>Public_Final!AC15</f>
        <v>0</v>
      </c>
      <c r="U3">
        <f>Public_Final!AD15</f>
        <v>0</v>
      </c>
      <c r="V3">
        <f>Public_Final!AE15</f>
        <v>0</v>
      </c>
      <c r="W3">
        <f>Public_Final!AF15</f>
        <v>0</v>
      </c>
      <c r="X3">
        <f>Public_Final!AG15</f>
        <v>0</v>
      </c>
      <c r="Y3">
        <f>Public_Final!AH15</f>
        <v>0</v>
      </c>
      <c r="Z3">
        <f>Public_Final!AI15</f>
        <v>0</v>
      </c>
      <c r="AA3">
        <f>Public_Final!AJ15</f>
        <v>0</v>
      </c>
      <c r="AB3">
        <f>Public_Final!AK15</f>
        <v>0</v>
      </c>
      <c r="AC3">
        <f>Public_Final!AL15</f>
        <v>0</v>
      </c>
      <c r="AD3">
        <f>Public_Final!AM15</f>
        <v>0</v>
      </c>
      <c r="AE3">
        <f>Public_Final!AN15</f>
        <v>0</v>
      </c>
      <c r="AF3">
        <f>Public_Final!AO15</f>
        <v>0</v>
      </c>
      <c r="AG3">
        <f>Public_Final!AP15</f>
        <v>0</v>
      </c>
      <c r="AH3">
        <f>Public_Final!AQ15</f>
        <v>0</v>
      </c>
      <c r="AI3">
        <f>Public_Final!AR15</f>
        <v>0</v>
      </c>
      <c r="AJ3">
        <f>Public_Final!AS15</f>
        <v>0</v>
      </c>
      <c r="AK3">
        <f>Public_Final!AT15</f>
        <v>0</v>
      </c>
      <c r="AL3">
        <f>Public_Final!AU15</f>
        <v>0</v>
      </c>
    </row>
    <row r="4" spans="1:38">
      <c r="A4" t="str">
        <f>Public_Final!B16</f>
        <v>natural gas(BTU)</v>
      </c>
      <c r="B4">
        <f>Public_Final!K16</f>
        <v>0</v>
      </c>
      <c r="C4">
        <f>Public_Final!L16</f>
        <v>0</v>
      </c>
      <c r="D4">
        <f>Public_Final!M16</f>
        <v>0</v>
      </c>
      <c r="E4">
        <f>Public_Final!N16</f>
        <v>6273286319.7171144</v>
      </c>
      <c r="F4">
        <f>Public_Final!O16</f>
        <v>11961081102.194134</v>
      </c>
      <c r="G4">
        <f>Public_Final!P16</f>
        <v>15546145574.596426</v>
      </c>
      <c r="H4">
        <f>Public_Final!Q16</f>
        <v>0</v>
      </c>
      <c r="I4">
        <f>Public_Final!R16</f>
        <v>15419906254.463781</v>
      </c>
      <c r="J4">
        <f>Public_Final!S16</f>
        <v>0</v>
      </c>
      <c r="K4">
        <f>Public_Final!T16</f>
        <v>0</v>
      </c>
      <c r="L4">
        <f>Public_Final!U16</f>
        <v>0</v>
      </c>
      <c r="M4">
        <f>Public_Final!V16</f>
        <v>0</v>
      </c>
      <c r="N4">
        <f>Public_Final!W16</f>
        <v>0</v>
      </c>
      <c r="O4">
        <f>Public_Final!X16</f>
        <v>0</v>
      </c>
      <c r="P4">
        <f>Public_Final!Y16</f>
        <v>0</v>
      </c>
      <c r="Q4">
        <f>Public_Final!Z16</f>
        <v>0</v>
      </c>
      <c r="R4">
        <f>Public_Final!AA16</f>
        <v>0</v>
      </c>
      <c r="S4">
        <f>Public_Final!AB16</f>
        <v>0</v>
      </c>
      <c r="T4">
        <f>Public_Final!AC16</f>
        <v>0</v>
      </c>
      <c r="U4">
        <f>Public_Final!AD16</f>
        <v>0</v>
      </c>
      <c r="V4">
        <f>Public_Final!AE16</f>
        <v>0</v>
      </c>
      <c r="W4">
        <f>Public_Final!AF16</f>
        <v>0</v>
      </c>
      <c r="X4">
        <f>Public_Final!AG16</f>
        <v>0</v>
      </c>
      <c r="Y4">
        <f>Public_Final!AH16</f>
        <v>0</v>
      </c>
      <c r="Z4">
        <f>Public_Final!AI16</f>
        <v>0</v>
      </c>
      <c r="AA4">
        <f>Public_Final!AJ16</f>
        <v>0</v>
      </c>
      <c r="AB4">
        <f>Public_Final!AK16</f>
        <v>0</v>
      </c>
      <c r="AC4">
        <f>Public_Final!AL16</f>
        <v>0</v>
      </c>
      <c r="AD4">
        <f>Public_Final!AM16</f>
        <v>0</v>
      </c>
      <c r="AE4">
        <f>Public_Final!AN16</f>
        <v>0</v>
      </c>
      <c r="AF4">
        <f>Public_Final!AO16</f>
        <v>0</v>
      </c>
      <c r="AG4">
        <f>Public_Final!AP16</f>
        <v>0</v>
      </c>
      <c r="AH4">
        <f>Public_Final!AQ16</f>
        <v>0</v>
      </c>
      <c r="AI4">
        <f>Public_Final!AR16</f>
        <v>0</v>
      </c>
      <c r="AJ4">
        <f>Public_Final!AS16</f>
        <v>0</v>
      </c>
      <c r="AK4">
        <f>Public_Final!AT16</f>
        <v>0</v>
      </c>
      <c r="AL4">
        <f>Public_Final!AU16</f>
        <v>0</v>
      </c>
    </row>
    <row r="5" spans="1:38">
      <c r="A5" t="str">
        <f>Public_Final!B17</f>
        <v>petroleum diesel (BTU)</v>
      </c>
      <c r="B5">
        <f>Public_Final!K17</f>
        <v>0</v>
      </c>
      <c r="C5">
        <f>Public_Final!L17</f>
        <v>0</v>
      </c>
      <c r="D5">
        <f>Public_Final!M17</f>
        <v>0</v>
      </c>
      <c r="E5">
        <f>Public_Final!N17</f>
        <v>0</v>
      </c>
      <c r="F5">
        <f>Public_Final!O17</f>
        <v>0</v>
      </c>
      <c r="G5">
        <f>Public_Final!P17</f>
        <v>0</v>
      </c>
      <c r="H5">
        <f>Public_Final!Q17</f>
        <v>0</v>
      </c>
      <c r="I5">
        <f>Public_Final!R17</f>
        <v>0</v>
      </c>
      <c r="J5">
        <f>Public_Final!S17</f>
        <v>0</v>
      </c>
      <c r="K5">
        <f>Public_Final!T17</f>
        <v>0</v>
      </c>
      <c r="L5">
        <f>Public_Final!U17</f>
        <v>0</v>
      </c>
      <c r="M5">
        <f>Public_Final!V17</f>
        <v>0</v>
      </c>
      <c r="N5">
        <f>Public_Final!W17</f>
        <v>0</v>
      </c>
      <c r="O5">
        <f>Public_Final!X17</f>
        <v>0</v>
      </c>
      <c r="P5">
        <f>Public_Final!Y17</f>
        <v>0</v>
      </c>
      <c r="Q5">
        <f>Public_Final!Z17</f>
        <v>0</v>
      </c>
      <c r="R5">
        <f>Public_Final!AA17</f>
        <v>0</v>
      </c>
      <c r="S5">
        <f>Public_Final!AB17</f>
        <v>0</v>
      </c>
      <c r="T5">
        <f>Public_Final!AC17</f>
        <v>0</v>
      </c>
      <c r="U5">
        <f>Public_Final!AD17</f>
        <v>0</v>
      </c>
      <c r="V5">
        <f>Public_Final!AE17</f>
        <v>0</v>
      </c>
      <c r="W5">
        <f>Public_Final!AF17</f>
        <v>0</v>
      </c>
      <c r="X5">
        <f>Public_Final!AG17</f>
        <v>0</v>
      </c>
      <c r="Y5">
        <f>Public_Final!AH17</f>
        <v>0</v>
      </c>
      <c r="Z5">
        <f>Public_Final!AI17</f>
        <v>0</v>
      </c>
      <c r="AA5">
        <f>Public_Final!AJ17</f>
        <v>0</v>
      </c>
      <c r="AB5">
        <f>Public_Final!AK17</f>
        <v>0</v>
      </c>
      <c r="AC5">
        <f>Public_Final!AL17</f>
        <v>0</v>
      </c>
      <c r="AD5">
        <f>Public_Final!AM17</f>
        <v>0</v>
      </c>
      <c r="AE5">
        <f>Public_Final!AN17</f>
        <v>0</v>
      </c>
      <c r="AF5">
        <f>Public_Final!AO17</f>
        <v>0</v>
      </c>
      <c r="AG5">
        <f>Public_Final!AP17</f>
        <v>0</v>
      </c>
      <c r="AH5">
        <f>Public_Final!AQ17</f>
        <v>0</v>
      </c>
      <c r="AI5">
        <f>Public_Final!AR17</f>
        <v>0</v>
      </c>
      <c r="AJ5">
        <f>Public_Final!AS17</f>
        <v>0</v>
      </c>
      <c r="AK5">
        <f>Public_Final!AT17</f>
        <v>0</v>
      </c>
      <c r="AL5">
        <f>Public_Final!AU17</f>
        <v>0</v>
      </c>
    </row>
    <row r="6" spans="1:38">
      <c r="A6" t="str">
        <f>Public_Final!B18</f>
        <v>heat (BTU)</v>
      </c>
      <c r="B6">
        <f>Public_Final!K18</f>
        <v>0</v>
      </c>
      <c r="C6">
        <f>Public_Final!L18</f>
        <v>0</v>
      </c>
      <c r="D6">
        <f>Public_Final!M18</f>
        <v>0</v>
      </c>
      <c r="E6">
        <f>Public_Final!N18</f>
        <v>0</v>
      </c>
      <c r="F6">
        <f>Public_Final!O18</f>
        <v>0</v>
      </c>
      <c r="G6">
        <f>Public_Final!P18</f>
        <v>0</v>
      </c>
      <c r="H6">
        <f>Public_Final!Q18</f>
        <v>0</v>
      </c>
      <c r="I6">
        <f>Public_Final!R18</f>
        <v>0</v>
      </c>
      <c r="J6">
        <f>Public_Final!S18</f>
        <v>0</v>
      </c>
      <c r="K6">
        <f>Public_Final!T18</f>
        <v>0</v>
      </c>
      <c r="L6">
        <f>Public_Final!U18</f>
        <v>0</v>
      </c>
      <c r="M6">
        <f>Public_Final!V18</f>
        <v>0</v>
      </c>
      <c r="N6">
        <f>Public_Final!W18</f>
        <v>0</v>
      </c>
      <c r="O6">
        <f>Public_Final!X18</f>
        <v>0</v>
      </c>
      <c r="P6">
        <f>Public_Final!Y18</f>
        <v>0</v>
      </c>
      <c r="Q6">
        <f>Public_Final!Z18</f>
        <v>0</v>
      </c>
      <c r="R6">
        <f>Public_Final!AA18</f>
        <v>0</v>
      </c>
      <c r="S6">
        <f>Public_Final!AB18</f>
        <v>0</v>
      </c>
      <c r="T6">
        <f>Public_Final!AC18</f>
        <v>0</v>
      </c>
      <c r="U6">
        <f>Public_Final!AD18</f>
        <v>0</v>
      </c>
      <c r="V6">
        <f>Public_Final!AE18</f>
        <v>0</v>
      </c>
      <c r="W6">
        <f>Public_Final!AF18</f>
        <v>0</v>
      </c>
      <c r="X6">
        <f>Public_Final!AG18</f>
        <v>0</v>
      </c>
      <c r="Y6">
        <f>Public_Final!AH18</f>
        <v>0</v>
      </c>
      <c r="Z6">
        <f>Public_Final!AI18</f>
        <v>0</v>
      </c>
      <c r="AA6">
        <f>Public_Final!AJ18</f>
        <v>0</v>
      </c>
      <c r="AB6">
        <f>Public_Final!AK18</f>
        <v>0</v>
      </c>
      <c r="AC6">
        <f>Public_Final!AL18</f>
        <v>0</v>
      </c>
      <c r="AD6">
        <f>Public_Final!AM18</f>
        <v>0</v>
      </c>
      <c r="AE6">
        <f>Public_Final!AN18</f>
        <v>0</v>
      </c>
      <c r="AF6">
        <f>Public_Final!AO18</f>
        <v>0</v>
      </c>
      <c r="AG6">
        <f>Public_Final!AP18</f>
        <v>0</v>
      </c>
      <c r="AH6">
        <f>Public_Final!AQ18</f>
        <v>0</v>
      </c>
      <c r="AI6">
        <f>Public_Final!AR18</f>
        <v>0</v>
      </c>
      <c r="AJ6">
        <f>Public_Final!AS18</f>
        <v>0</v>
      </c>
      <c r="AK6">
        <f>Public_Final!AT18</f>
        <v>0</v>
      </c>
      <c r="AL6">
        <f>Public_Final!AU18</f>
        <v>0</v>
      </c>
    </row>
    <row r="7" spans="1:38">
      <c r="A7" t="str">
        <f>Public_Final!B19</f>
        <v>biomass (BTU)</v>
      </c>
      <c r="B7">
        <f>Public_Final!K19</f>
        <v>0</v>
      </c>
      <c r="C7">
        <f>Public_Final!L19</f>
        <v>0</v>
      </c>
      <c r="D7">
        <f>Public_Final!M19</f>
        <v>0</v>
      </c>
      <c r="E7">
        <f>Public_Final!N19</f>
        <v>0</v>
      </c>
      <c r="F7">
        <f>Public_Final!O19</f>
        <v>0</v>
      </c>
      <c r="G7">
        <f>Public_Final!P19</f>
        <v>0</v>
      </c>
      <c r="H7">
        <f>Public_Final!Q19</f>
        <v>0</v>
      </c>
      <c r="I7">
        <f>Public_Final!R19</f>
        <v>0</v>
      </c>
      <c r="J7">
        <f>Public_Final!S19</f>
        <v>0</v>
      </c>
      <c r="K7">
        <f>Public_Final!T19</f>
        <v>0</v>
      </c>
      <c r="L7">
        <f>Public_Final!U19</f>
        <v>0</v>
      </c>
      <c r="M7">
        <f>Public_Final!V19</f>
        <v>0</v>
      </c>
      <c r="N7">
        <f>Public_Final!W19</f>
        <v>0</v>
      </c>
      <c r="O7">
        <f>Public_Final!X19</f>
        <v>0</v>
      </c>
      <c r="P7">
        <f>Public_Final!Y19</f>
        <v>0</v>
      </c>
      <c r="Q7">
        <f>Public_Final!Z19</f>
        <v>0</v>
      </c>
      <c r="R7">
        <f>Public_Final!AA19</f>
        <v>0</v>
      </c>
      <c r="S7">
        <f>Public_Final!AB19</f>
        <v>0</v>
      </c>
      <c r="T7">
        <f>Public_Final!AC19</f>
        <v>0</v>
      </c>
      <c r="U7">
        <f>Public_Final!AD19</f>
        <v>0</v>
      </c>
      <c r="V7">
        <f>Public_Final!AE19</f>
        <v>0</v>
      </c>
      <c r="W7">
        <f>Public_Final!AF19</f>
        <v>0</v>
      </c>
      <c r="X7">
        <f>Public_Final!AG19</f>
        <v>0</v>
      </c>
      <c r="Y7">
        <f>Public_Final!AH19</f>
        <v>0</v>
      </c>
      <c r="Z7">
        <f>Public_Final!AI19</f>
        <v>0</v>
      </c>
      <c r="AA7">
        <f>Public_Final!AJ19</f>
        <v>0</v>
      </c>
      <c r="AB7">
        <f>Public_Final!AK19</f>
        <v>0</v>
      </c>
      <c r="AC7">
        <f>Public_Final!AL19</f>
        <v>0</v>
      </c>
      <c r="AD7">
        <f>Public_Final!AM19</f>
        <v>0</v>
      </c>
      <c r="AE7">
        <f>Public_Final!AN19</f>
        <v>0</v>
      </c>
      <c r="AF7">
        <f>Public_Final!AO19</f>
        <v>0</v>
      </c>
      <c r="AG7">
        <f>Public_Final!AP19</f>
        <v>0</v>
      </c>
      <c r="AH7">
        <f>Public_Final!AQ19</f>
        <v>0</v>
      </c>
      <c r="AI7">
        <f>Public_Final!AR19</f>
        <v>0</v>
      </c>
      <c r="AJ7">
        <f>Public_Final!AS19</f>
        <v>0</v>
      </c>
      <c r="AK7">
        <f>Public_Final!AT19</f>
        <v>0</v>
      </c>
      <c r="AL7">
        <f>Public_Final!AU19</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defaultColWidth="8.7265625" defaultRowHeight="14.5"/>
  <cols>
    <col min="1" max="1" width="19.7265625" bestFit="1" customWidth="1"/>
  </cols>
  <sheetData>
    <row r="1" spans="1:38" s="54" customFormat="1">
      <c r="A1" s="54" t="str">
        <f>Public_Final!B4</f>
        <v>Year</v>
      </c>
      <c r="B1" s="54">
        <f>Public_Final!K4</f>
        <v>2014</v>
      </c>
      <c r="C1" s="54">
        <f>Public_Final!L4</f>
        <v>2015</v>
      </c>
      <c r="D1" s="54">
        <f>Public_Final!M4</f>
        <v>2016</v>
      </c>
      <c r="E1" s="54">
        <f>Public_Final!N4</f>
        <v>2017</v>
      </c>
      <c r="F1" s="54">
        <f>Public_Final!O4</f>
        <v>2018</v>
      </c>
      <c r="G1" s="54">
        <f>Public_Final!P4</f>
        <v>2019</v>
      </c>
      <c r="H1" s="54">
        <f>Public_Final!Q4</f>
        <v>2020</v>
      </c>
      <c r="I1" s="54">
        <f>Public_Final!R4</f>
        <v>2021</v>
      </c>
      <c r="J1" s="54">
        <f>Public_Final!S4</f>
        <v>2022</v>
      </c>
      <c r="K1" s="54">
        <f>Public_Final!T4</f>
        <v>2023</v>
      </c>
      <c r="L1" s="54">
        <f>Public_Final!U4</f>
        <v>2024</v>
      </c>
      <c r="M1" s="54">
        <f>Public_Final!V4</f>
        <v>2025</v>
      </c>
      <c r="N1" s="54">
        <f>Public_Final!W4</f>
        <v>2026</v>
      </c>
      <c r="O1" s="54">
        <f>Public_Final!X4</f>
        <v>2027</v>
      </c>
      <c r="P1" s="54">
        <f>Public_Final!Y4</f>
        <v>2028</v>
      </c>
      <c r="Q1" s="54">
        <f>Public_Final!Z4</f>
        <v>2029</v>
      </c>
      <c r="R1" s="54">
        <f>Public_Final!AA4</f>
        <v>2030</v>
      </c>
      <c r="S1" s="54">
        <f>Public_Final!AB4</f>
        <v>2031</v>
      </c>
      <c r="T1" s="54">
        <f>Public_Final!AC4</f>
        <v>2032</v>
      </c>
      <c r="U1" s="54">
        <f>Public_Final!AD4</f>
        <v>2033</v>
      </c>
      <c r="V1" s="54">
        <f>Public_Final!AE4</f>
        <v>2034</v>
      </c>
      <c r="W1" s="54">
        <f>Public_Final!AF4</f>
        <v>2035</v>
      </c>
      <c r="X1" s="54">
        <f>Public_Final!AG4</f>
        <v>2036</v>
      </c>
      <c r="Y1" s="54">
        <f>Public_Final!AH4</f>
        <v>2037</v>
      </c>
      <c r="Z1" s="54">
        <f>Public_Final!AI4</f>
        <v>2038</v>
      </c>
      <c r="AA1" s="54">
        <f>Public_Final!AJ4</f>
        <v>2039</v>
      </c>
      <c r="AB1" s="54">
        <f>Public_Final!AK4</f>
        <v>2040</v>
      </c>
      <c r="AC1" s="54">
        <f>Public_Final!AL4</f>
        <v>2041</v>
      </c>
      <c r="AD1" s="54">
        <f>Public_Final!AM4</f>
        <v>2042</v>
      </c>
      <c r="AE1" s="54">
        <f>Public_Final!AN4</f>
        <v>2043</v>
      </c>
      <c r="AF1" s="54">
        <f>Public_Final!AO4</f>
        <v>2044</v>
      </c>
      <c r="AG1" s="54">
        <f>Public_Final!AP4</f>
        <v>2045</v>
      </c>
      <c r="AH1" s="54">
        <f>Public_Final!AQ4</f>
        <v>2046</v>
      </c>
      <c r="AI1" s="54">
        <f>Public_Final!AR4</f>
        <v>2047</v>
      </c>
      <c r="AJ1" s="54">
        <f>Public_Final!AS4</f>
        <v>2048</v>
      </c>
      <c r="AK1" s="54">
        <f>Public_Final!AT4</f>
        <v>2049</v>
      </c>
      <c r="AL1" s="54">
        <f>Public_Final!AU4</f>
        <v>2050</v>
      </c>
    </row>
    <row r="2" spans="1:38" s="156" customFormat="1">
      <c r="A2" t="str">
        <f>Public_Final!B5</f>
        <v>electricity(BTU)</v>
      </c>
      <c r="B2">
        <f>Public_Final!K5</f>
        <v>792392373713.62659</v>
      </c>
      <c r="C2">
        <f>Public_Final!L5</f>
        <v>705149197335.26697</v>
      </c>
      <c r="D2">
        <f>Public_Final!M5</f>
        <v>648574916377.68396</v>
      </c>
      <c r="E2">
        <f>Public_Final!N5</f>
        <v>591662035176.16504</v>
      </c>
      <c r="F2">
        <f>Public_Final!O5</f>
        <v>604416105006.87854</v>
      </c>
      <c r="G2">
        <f>Public_Final!P5</f>
        <v>606726011038.53662</v>
      </c>
      <c r="H2">
        <f>Public_Final!Q5</f>
        <v>643856657095.81152</v>
      </c>
      <c r="I2">
        <f>Public_Final!R5</f>
        <v>654714565936.79163</v>
      </c>
      <c r="J2">
        <f>Public_Final!S5</f>
        <v>651508763134.91406</v>
      </c>
      <c r="K2">
        <f>Public_Final!T5</f>
        <v>670990806951.81738</v>
      </c>
      <c r="L2">
        <f>Public_Final!U5</f>
        <v>690431969044.55701</v>
      </c>
      <c r="M2">
        <f>Public_Final!V5</f>
        <v>709432453683.73425</v>
      </c>
      <c r="N2">
        <f>Public_Final!W5</f>
        <v>729198695028.42627</v>
      </c>
      <c r="O2">
        <f>Public_Final!X5</f>
        <v>749851963816.98779</v>
      </c>
      <c r="P2">
        <f>Public_Final!Y5</f>
        <v>771331676985.17029</v>
      </c>
      <c r="Q2">
        <f>Public_Final!Z5</f>
        <v>793353882429.23828</v>
      </c>
      <c r="R2">
        <f>Public_Final!AA5</f>
        <v>815785638605.52283</v>
      </c>
      <c r="S2">
        <f>Public_Final!AB5</f>
        <v>838384880889.87256</v>
      </c>
      <c r="T2">
        <f>Public_Final!AC5</f>
        <v>861326195581.1991</v>
      </c>
      <c r="U2">
        <f>Public_Final!AD5</f>
        <v>884699157787.62988</v>
      </c>
      <c r="V2">
        <f>Public_Final!AE5</f>
        <v>908555225679.65649</v>
      </c>
      <c r="W2">
        <f>Public_Final!AF5</f>
        <v>933054970423.76233</v>
      </c>
      <c r="X2">
        <f>Public_Final!AG5</f>
        <v>957071696460.66345</v>
      </c>
      <c r="Y2">
        <f>Public_Final!AH5</f>
        <v>981599325124.95935</v>
      </c>
      <c r="Z2">
        <f>Public_Final!AI5</f>
        <v>1006188271828.1124</v>
      </c>
      <c r="AA2">
        <f>Public_Final!AJ5</f>
        <v>1030655400102.8843</v>
      </c>
      <c r="AB2">
        <f>Public_Final!AK5</f>
        <v>1054971701842.1857</v>
      </c>
      <c r="AC2">
        <f>Public_Final!AL5</f>
        <v>1079146881892.7762</v>
      </c>
      <c r="AD2">
        <f>Public_Final!AM5</f>
        <v>1103219914693.8271</v>
      </c>
      <c r="AE2">
        <f>Public_Final!AN5</f>
        <v>1127317036278.2639</v>
      </c>
      <c r="AF2">
        <f>Public_Final!AO5</f>
        <v>1151308775758.8943</v>
      </c>
      <c r="AG2">
        <f>Public_Final!AP5</f>
        <v>1175199415076.0425</v>
      </c>
      <c r="AH2">
        <f>Public_Final!AQ5</f>
        <v>1198848349214.4363</v>
      </c>
      <c r="AI2">
        <f>Public_Final!AR5</f>
        <v>1245933585262.7666</v>
      </c>
      <c r="AJ2">
        <f>Public_Final!AS5</f>
        <v>1276062758856.1587</v>
      </c>
      <c r="AK2">
        <f>Public_Final!AT5</f>
        <v>1306774317119.6287</v>
      </c>
      <c r="AL2">
        <f>Public_Final!AU5</f>
        <v>1338078040683.3474</v>
      </c>
    </row>
    <row r="3" spans="1:38" s="156" customFormat="1">
      <c r="A3" t="str">
        <f>Public_Final!B6</f>
        <v>coal(BTU)</v>
      </c>
      <c r="B3">
        <f>Public_Final!K6</f>
        <v>0</v>
      </c>
      <c r="C3">
        <f>Public_Final!L6</f>
        <v>0</v>
      </c>
      <c r="D3">
        <f>Public_Final!M6</f>
        <v>0</v>
      </c>
      <c r="E3">
        <f>Public_Final!N6</f>
        <v>392080394.98231965</v>
      </c>
      <c r="F3">
        <f>Public_Final!O6</f>
        <v>747567568.88713336</v>
      </c>
      <c r="G3">
        <f>Public_Final!P6</f>
        <v>1165960918.094732</v>
      </c>
      <c r="H3">
        <f>Public_Final!Q6</f>
        <v>0</v>
      </c>
      <c r="I3">
        <f>Public_Final!R6</f>
        <v>0</v>
      </c>
      <c r="J3">
        <f>Public_Final!S6</f>
        <v>0</v>
      </c>
      <c r="K3">
        <f>Public_Final!T6</f>
        <v>0</v>
      </c>
      <c r="L3">
        <f>Public_Final!U6</f>
        <v>0</v>
      </c>
      <c r="M3">
        <f>Public_Final!V6</f>
        <v>0</v>
      </c>
      <c r="N3">
        <f>Public_Final!W6</f>
        <v>0</v>
      </c>
      <c r="O3">
        <f>Public_Final!X6</f>
        <v>0</v>
      </c>
      <c r="P3">
        <f>Public_Final!Y6</f>
        <v>0</v>
      </c>
      <c r="Q3">
        <f>Public_Final!Z6</f>
        <v>0</v>
      </c>
      <c r="R3">
        <f>Public_Final!AA6</f>
        <v>0</v>
      </c>
      <c r="S3">
        <f>Public_Final!AB6</f>
        <v>0</v>
      </c>
      <c r="T3">
        <f>Public_Final!AC6</f>
        <v>0</v>
      </c>
      <c r="U3">
        <f>Public_Final!AD6</f>
        <v>0</v>
      </c>
      <c r="V3">
        <f>Public_Final!AE6</f>
        <v>0</v>
      </c>
      <c r="W3">
        <f>Public_Final!AF6</f>
        <v>0</v>
      </c>
      <c r="X3">
        <f>Public_Final!AG6</f>
        <v>0</v>
      </c>
      <c r="Y3">
        <f>Public_Final!AH6</f>
        <v>0</v>
      </c>
      <c r="Z3">
        <f>Public_Final!AI6</f>
        <v>0</v>
      </c>
      <c r="AA3">
        <f>Public_Final!AJ6</f>
        <v>0</v>
      </c>
      <c r="AB3">
        <f>Public_Final!AK6</f>
        <v>0</v>
      </c>
      <c r="AC3">
        <f>Public_Final!AL6</f>
        <v>0</v>
      </c>
      <c r="AD3">
        <f>Public_Final!AM6</f>
        <v>0</v>
      </c>
      <c r="AE3">
        <f>Public_Final!AN6</f>
        <v>0</v>
      </c>
      <c r="AF3">
        <f>Public_Final!AO6</f>
        <v>0</v>
      </c>
      <c r="AG3">
        <f>Public_Final!AP6</f>
        <v>0</v>
      </c>
      <c r="AH3">
        <f>Public_Final!AQ6</f>
        <v>0</v>
      </c>
      <c r="AI3">
        <f>Public_Final!AR6</f>
        <v>0</v>
      </c>
      <c r="AJ3">
        <f>Public_Final!AS6</f>
        <v>0</v>
      </c>
      <c r="AK3">
        <f>Public_Final!AT6</f>
        <v>0</v>
      </c>
      <c r="AL3">
        <f>Public_Final!AU6</f>
        <v>0</v>
      </c>
    </row>
    <row r="4" spans="1:38" s="156" customFormat="1">
      <c r="A4" t="str">
        <f>Public_Final!B7</f>
        <v>natural gas(BTU)</v>
      </c>
      <c r="B4">
        <f>Public_Final!K7</f>
        <v>0</v>
      </c>
      <c r="C4">
        <f>Public_Final!L7</f>
        <v>0</v>
      </c>
      <c r="D4">
        <f>Public_Final!M7</f>
        <v>0</v>
      </c>
      <c r="E4">
        <f>Public_Final!N7</f>
        <v>784160789.96463931</v>
      </c>
      <c r="F4">
        <f>Public_Final!O7</f>
        <v>1495135137.7742667</v>
      </c>
      <c r="G4">
        <f>Public_Final!P7</f>
        <v>2331921836.1894641</v>
      </c>
      <c r="H4">
        <f>Public_Final!Q7</f>
        <v>0</v>
      </c>
      <c r="I4">
        <f>Public_Final!R7</f>
        <v>0</v>
      </c>
      <c r="J4">
        <f>Public_Final!S7</f>
        <v>0</v>
      </c>
      <c r="K4">
        <f>Public_Final!T7</f>
        <v>0</v>
      </c>
      <c r="L4">
        <f>Public_Final!U7</f>
        <v>0</v>
      </c>
      <c r="M4">
        <f>Public_Final!V7</f>
        <v>0</v>
      </c>
      <c r="N4">
        <f>Public_Final!W7</f>
        <v>0</v>
      </c>
      <c r="O4">
        <f>Public_Final!X7</f>
        <v>0</v>
      </c>
      <c r="P4">
        <f>Public_Final!Y7</f>
        <v>0</v>
      </c>
      <c r="Q4">
        <f>Public_Final!Z7</f>
        <v>0</v>
      </c>
      <c r="R4">
        <f>Public_Final!AA7</f>
        <v>0</v>
      </c>
      <c r="S4">
        <f>Public_Final!AB7</f>
        <v>0</v>
      </c>
      <c r="T4">
        <f>Public_Final!AC7</f>
        <v>0</v>
      </c>
      <c r="U4">
        <f>Public_Final!AD7</f>
        <v>0</v>
      </c>
      <c r="V4">
        <f>Public_Final!AE7</f>
        <v>0</v>
      </c>
      <c r="W4">
        <f>Public_Final!AF7</f>
        <v>0</v>
      </c>
      <c r="X4">
        <f>Public_Final!AG7</f>
        <v>0</v>
      </c>
      <c r="Y4">
        <f>Public_Final!AH7</f>
        <v>0</v>
      </c>
      <c r="Z4">
        <f>Public_Final!AI7</f>
        <v>0</v>
      </c>
      <c r="AA4">
        <f>Public_Final!AJ7</f>
        <v>0</v>
      </c>
      <c r="AB4">
        <f>Public_Final!AK7</f>
        <v>0</v>
      </c>
      <c r="AC4">
        <f>Public_Final!AL7</f>
        <v>0</v>
      </c>
      <c r="AD4">
        <f>Public_Final!AM7</f>
        <v>0</v>
      </c>
      <c r="AE4">
        <f>Public_Final!AN7</f>
        <v>0</v>
      </c>
      <c r="AF4">
        <f>Public_Final!AO7</f>
        <v>0</v>
      </c>
      <c r="AG4">
        <f>Public_Final!AP7</f>
        <v>0</v>
      </c>
      <c r="AH4">
        <f>Public_Final!AQ7</f>
        <v>0</v>
      </c>
      <c r="AI4">
        <f>Public_Final!AR7</f>
        <v>0</v>
      </c>
      <c r="AJ4">
        <f>Public_Final!AS7</f>
        <v>0</v>
      </c>
      <c r="AK4">
        <f>Public_Final!AT7</f>
        <v>0</v>
      </c>
      <c r="AL4">
        <f>Public_Final!AU7</f>
        <v>0</v>
      </c>
    </row>
    <row r="5" spans="1:38" s="156" customFormat="1">
      <c r="A5" t="str">
        <f>Public_Final!B8</f>
        <v>petroleum diesel (BTU)</v>
      </c>
      <c r="B5">
        <f>Public_Final!K8</f>
        <v>0</v>
      </c>
      <c r="C5">
        <f>Public_Final!L8</f>
        <v>0</v>
      </c>
      <c r="D5">
        <f>Public_Final!M8</f>
        <v>0</v>
      </c>
      <c r="E5">
        <f>Public_Final!N8</f>
        <v>392080394.98231965</v>
      </c>
      <c r="F5">
        <f>Public_Final!O8</f>
        <v>747567568.88713336</v>
      </c>
      <c r="G5">
        <f>Public_Final!P8</f>
        <v>1165960918.094732</v>
      </c>
      <c r="H5">
        <f>Public_Final!Q8</f>
        <v>0</v>
      </c>
      <c r="I5">
        <f>Public_Final!R8</f>
        <v>0</v>
      </c>
      <c r="J5">
        <f>Public_Final!S8</f>
        <v>0</v>
      </c>
      <c r="K5">
        <f>Public_Final!T8</f>
        <v>0</v>
      </c>
      <c r="L5">
        <f>Public_Final!U8</f>
        <v>0</v>
      </c>
      <c r="M5">
        <f>Public_Final!V8</f>
        <v>0</v>
      </c>
      <c r="N5">
        <f>Public_Final!W8</f>
        <v>0</v>
      </c>
      <c r="O5">
        <f>Public_Final!X8</f>
        <v>0</v>
      </c>
      <c r="P5">
        <f>Public_Final!Y8</f>
        <v>0</v>
      </c>
      <c r="Q5">
        <f>Public_Final!Z8</f>
        <v>0</v>
      </c>
      <c r="R5">
        <f>Public_Final!AA8</f>
        <v>0</v>
      </c>
      <c r="S5">
        <f>Public_Final!AB8</f>
        <v>0</v>
      </c>
      <c r="T5">
        <f>Public_Final!AC8</f>
        <v>0</v>
      </c>
      <c r="U5">
        <f>Public_Final!AD8</f>
        <v>0</v>
      </c>
      <c r="V5">
        <f>Public_Final!AE8</f>
        <v>0</v>
      </c>
      <c r="W5">
        <f>Public_Final!AF8</f>
        <v>0</v>
      </c>
      <c r="X5">
        <f>Public_Final!AG8</f>
        <v>0</v>
      </c>
      <c r="Y5">
        <f>Public_Final!AH8</f>
        <v>0</v>
      </c>
      <c r="Z5">
        <f>Public_Final!AI8</f>
        <v>0</v>
      </c>
      <c r="AA5">
        <f>Public_Final!AJ8</f>
        <v>0</v>
      </c>
      <c r="AB5">
        <f>Public_Final!AK8</f>
        <v>0</v>
      </c>
      <c r="AC5">
        <f>Public_Final!AL8</f>
        <v>0</v>
      </c>
      <c r="AD5">
        <f>Public_Final!AM8</f>
        <v>0</v>
      </c>
      <c r="AE5">
        <f>Public_Final!AN8</f>
        <v>0</v>
      </c>
      <c r="AF5">
        <f>Public_Final!AO8</f>
        <v>0</v>
      </c>
      <c r="AG5">
        <f>Public_Final!AP8</f>
        <v>0</v>
      </c>
      <c r="AH5">
        <f>Public_Final!AQ8</f>
        <v>0</v>
      </c>
      <c r="AI5">
        <f>Public_Final!AR8</f>
        <v>0</v>
      </c>
      <c r="AJ5">
        <f>Public_Final!AS8</f>
        <v>0</v>
      </c>
      <c r="AK5">
        <f>Public_Final!AT8</f>
        <v>0</v>
      </c>
      <c r="AL5">
        <f>Public_Final!AU8</f>
        <v>0</v>
      </c>
    </row>
    <row r="6" spans="1:38">
      <c r="A6" t="str">
        <f>Public_Final!B9</f>
        <v>heat (BTU)</v>
      </c>
      <c r="B6">
        <f>Public_Final!K9</f>
        <v>0</v>
      </c>
      <c r="C6">
        <f>Public_Final!L9</f>
        <v>0</v>
      </c>
      <c r="D6">
        <f>Public_Final!M9</f>
        <v>0</v>
      </c>
      <c r="E6">
        <f>Public_Final!N9</f>
        <v>0</v>
      </c>
      <c r="F6">
        <f>Public_Final!O9</f>
        <v>0</v>
      </c>
      <c r="G6">
        <f>Public_Final!P9</f>
        <v>0</v>
      </c>
      <c r="H6">
        <f>Public_Final!Q9</f>
        <v>0</v>
      </c>
      <c r="I6">
        <f>Public_Final!R9</f>
        <v>0</v>
      </c>
      <c r="J6">
        <f>Public_Final!S9</f>
        <v>0</v>
      </c>
      <c r="K6">
        <f>Public_Final!T9</f>
        <v>0</v>
      </c>
      <c r="L6">
        <f>Public_Final!U9</f>
        <v>0</v>
      </c>
      <c r="M6">
        <f>Public_Final!V9</f>
        <v>0</v>
      </c>
      <c r="N6">
        <f>Public_Final!W9</f>
        <v>0</v>
      </c>
      <c r="O6">
        <f>Public_Final!X9</f>
        <v>0</v>
      </c>
      <c r="P6">
        <f>Public_Final!Y9</f>
        <v>0</v>
      </c>
      <c r="Q6">
        <f>Public_Final!Z9</f>
        <v>0</v>
      </c>
      <c r="R6">
        <f>Public_Final!AA9</f>
        <v>0</v>
      </c>
      <c r="S6">
        <f>Public_Final!AB9</f>
        <v>0</v>
      </c>
      <c r="T6">
        <f>Public_Final!AC9</f>
        <v>0</v>
      </c>
      <c r="U6">
        <f>Public_Final!AD9</f>
        <v>0</v>
      </c>
      <c r="V6">
        <f>Public_Final!AE9</f>
        <v>0</v>
      </c>
      <c r="W6">
        <f>Public_Final!AF9</f>
        <v>0</v>
      </c>
      <c r="X6">
        <f>Public_Final!AG9</f>
        <v>0</v>
      </c>
      <c r="Y6">
        <f>Public_Final!AH9</f>
        <v>0</v>
      </c>
      <c r="Z6">
        <f>Public_Final!AI9</f>
        <v>0</v>
      </c>
      <c r="AA6">
        <f>Public_Final!AJ9</f>
        <v>0</v>
      </c>
      <c r="AB6">
        <f>Public_Final!AK9</f>
        <v>0</v>
      </c>
      <c r="AC6">
        <f>Public_Final!AL9</f>
        <v>0</v>
      </c>
      <c r="AD6">
        <f>Public_Final!AM9</f>
        <v>0</v>
      </c>
      <c r="AE6">
        <f>Public_Final!AN9</f>
        <v>0</v>
      </c>
      <c r="AF6">
        <f>Public_Final!AO9</f>
        <v>0</v>
      </c>
      <c r="AG6">
        <f>Public_Final!AP9</f>
        <v>0</v>
      </c>
      <c r="AH6">
        <f>Public_Final!AQ9</f>
        <v>0</v>
      </c>
      <c r="AI6">
        <f>Public_Final!AR9</f>
        <v>0</v>
      </c>
      <c r="AJ6">
        <f>Public_Final!AS9</f>
        <v>0</v>
      </c>
      <c r="AK6">
        <f>Public_Final!AT9</f>
        <v>0</v>
      </c>
      <c r="AL6">
        <f>Public_Final!AU9</f>
        <v>0</v>
      </c>
    </row>
    <row r="7" spans="1:38">
      <c r="A7" t="str">
        <f>Public_Final!B10</f>
        <v>biomass (BTU)</v>
      </c>
      <c r="B7">
        <f>Public_Final!K10</f>
        <v>0</v>
      </c>
      <c r="C7">
        <f>Public_Final!L10</f>
        <v>0</v>
      </c>
      <c r="D7">
        <f>Public_Final!M10</f>
        <v>0</v>
      </c>
      <c r="E7">
        <f>Public_Final!N10</f>
        <v>0</v>
      </c>
      <c r="F7">
        <f>Public_Final!O10</f>
        <v>0</v>
      </c>
      <c r="G7">
        <f>Public_Final!P10</f>
        <v>0</v>
      </c>
      <c r="H7">
        <f>Public_Final!Q10</f>
        <v>0</v>
      </c>
      <c r="I7">
        <f>Public_Final!R10</f>
        <v>0</v>
      </c>
      <c r="J7">
        <f>Public_Final!S10</f>
        <v>0</v>
      </c>
      <c r="K7">
        <f>Public_Final!T10</f>
        <v>0</v>
      </c>
      <c r="L7">
        <f>Public_Final!U10</f>
        <v>0</v>
      </c>
      <c r="M7">
        <f>Public_Final!V10</f>
        <v>0</v>
      </c>
      <c r="N7">
        <f>Public_Final!W10</f>
        <v>0</v>
      </c>
      <c r="O7">
        <f>Public_Final!X10</f>
        <v>0</v>
      </c>
      <c r="P7">
        <f>Public_Final!Y10</f>
        <v>0</v>
      </c>
      <c r="Q7">
        <f>Public_Final!Z10</f>
        <v>0</v>
      </c>
      <c r="R7">
        <f>Public_Final!AA10</f>
        <v>0</v>
      </c>
      <c r="S7">
        <f>Public_Final!AB10</f>
        <v>0</v>
      </c>
      <c r="T7">
        <f>Public_Final!AC10</f>
        <v>0</v>
      </c>
      <c r="U7">
        <f>Public_Final!AD10</f>
        <v>0</v>
      </c>
      <c r="V7">
        <f>Public_Final!AE10</f>
        <v>0</v>
      </c>
      <c r="W7">
        <f>Public_Final!AF10</f>
        <v>0</v>
      </c>
      <c r="X7">
        <f>Public_Final!AG10</f>
        <v>0</v>
      </c>
      <c r="Y7">
        <f>Public_Final!AH10</f>
        <v>0</v>
      </c>
      <c r="Z7">
        <f>Public_Final!AI10</f>
        <v>0</v>
      </c>
      <c r="AA7">
        <f>Public_Final!AJ10</f>
        <v>0</v>
      </c>
      <c r="AB7">
        <f>Public_Final!AK10</f>
        <v>0</v>
      </c>
      <c r="AC7">
        <f>Public_Final!AL10</f>
        <v>0</v>
      </c>
      <c r="AD7">
        <f>Public_Final!AM10</f>
        <v>0</v>
      </c>
      <c r="AE7">
        <f>Public_Final!AN10</f>
        <v>0</v>
      </c>
      <c r="AF7">
        <f>Public_Final!AO10</f>
        <v>0</v>
      </c>
      <c r="AG7">
        <f>Public_Final!AP10</f>
        <v>0</v>
      </c>
      <c r="AH7">
        <f>Public_Final!AQ10</f>
        <v>0</v>
      </c>
      <c r="AI7">
        <f>Public_Final!AR10</f>
        <v>0</v>
      </c>
      <c r="AJ7">
        <f>Public_Final!AS10</f>
        <v>0</v>
      </c>
      <c r="AK7">
        <f>Public_Final!AT10</f>
        <v>0</v>
      </c>
      <c r="AL7">
        <f>Public_Final!AU10</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4" tint="-0.499984740745262"/>
  </sheetPr>
  <dimension ref="A1:AL11"/>
  <sheetViews>
    <sheetView workbookViewId="0">
      <pane xSplit="1" topLeftCell="B1" activePane="topRight" state="frozen"/>
      <selection activeCell="G23" sqref="G23"/>
      <selection pane="topRight" activeCell="A8" sqref="A8:XFD11"/>
    </sheetView>
  </sheetViews>
  <sheetFormatPr defaultColWidth="8.7265625" defaultRowHeight="14.5"/>
  <cols>
    <col min="1" max="1" width="19.7265625" bestFit="1" customWidth="1"/>
  </cols>
  <sheetData>
    <row r="1" spans="1:38" s="54" customFormat="1">
      <c r="A1" s="54" t="str">
        <f>Public_Final!B31</f>
        <v>Year</v>
      </c>
      <c r="B1" s="54">
        <f>Public_Final!K31</f>
        <v>2014</v>
      </c>
      <c r="C1" s="54">
        <f>Public_Final!L31</f>
        <v>2015</v>
      </c>
      <c r="D1" s="54">
        <f>Public_Final!M31</f>
        <v>2016</v>
      </c>
      <c r="E1" s="54">
        <f>Public_Final!N31</f>
        <v>2017</v>
      </c>
      <c r="F1" s="54">
        <f>Public_Final!O31</f>
        <v>2018</v>
      </c>
      <c r="G1" s="54">
        <f>Public_Final!P31</f>
        <v>2019</v>
      </c>
      <c r="H1" s="54">
        <f>Public_Final!Q31</f>
        <v>2020</v>
      </c>
      <c r="I1" s="54">
        <f>Public_Final!R31</f>
        <v>2021</v>
      </c>
      <c r="J1" s="54">
        <f>Public_Final!S31</f>
        <v>2022</v>
      </c>
      <c r="K1" s="54">
        <f>Public_Final!T31</f>
        <v>2023</v>
      </c>
      <c r="L1" s="54">
        <f>Public_Final!U31</f>
        <v>2024</v>
      </c>
      <c r="M1" s="54">
        <f>Public_Final!V31</f>
        <v>2025</v>
      </c>
      <c r="N1" s="54">
        <f>Public_Final!W31</f>
        <v>2026</v>
      </c>
      <c r="O1" s="54">
        <f>Public_Final!X31</f>
        <v>2027</v>
      </c>
      <c r="P1" s="54">
        <f>Public_Final!Y31</f>
        <v>2028</v>
      </c>
      <c r="Q1" s="54">
        <f>Public_Final!Z31</f>
        <v>2029</v>
      </c>
      <c r="R1" s="54">
        <f>Public_Final!AA31</f>
        <v>2030</v>
      </c>
      <c r="S1" s="54">
        <f>Public_Final!AB31</f>
        <v>2031</v>
      </c>
      <c r="T1" s="54">
        <f>Public_Final!AC31</f>
        <v>2032</v>
      </c>
      <c r="U1" s="54">
        <f>Public_Final!AD31</f>
        <v>2033</v>
      </c>
      <c r="V1" s="54">
        <f>Public_Final!AE31</f>
        <v>2034</v>
      </c>
      <c r="W1" s="54">
        <f>Public_Final!AF31</f>
        <v>2035</v>
      </c>
      <c r="X1" s="54">
        <f>Public_Final!AG31</f>
        <v>2036</v>
      </c>
      <c r="Y1" s="54">
        <f>Public_Final!AH31</f>
        <v>2037</v>
      </c>
      <c r="Z1" s="54">
        <f>Public_Final!AI31</f>
        <v>2038</v>
      </c>
      <c r="AA1" s="54">
        <f>Public_Final!AJ31</f>
        <v>2039</v>
      </c>
      <c r="AB1" s="54">
        <f>Public_Final!AK31</f>
        <v>2040</v>
      </c>
      <c r="AC1" s="54">
        <f>Public_Final!AL31</f>
        <v>2041</v>
      </c>
      <c r="AD1" s="54">
        <f>Public_Final!AM31</f>
        <v>2042</v>
      </c>
      <c r="AE1" s="54">
        <f>Public_Final!AN31</f>
        <v>2043</v>
      </c>
      <c r="AF1" s="54">
        <f>Public_Final!AO31</f>
        <v>2044</v>
      </c>
      <c r="AG1" s="54">
        <f>Public_Final!AP31</f>
        <v>2045</v>
      </c>
      <c r="AH1" s="54">
        <f>Public_Final!AQ31</f>
        <v>2046</v>
      </c>
      <c r="AI1" s="54">
        <f>Public_Final!AR31</f>
        <v>2047</v>
      </c>
      <c r="AJ1" s="54">
        <f>Public_Final!AS31</f>
        <v>2048</v>
      </c>
      <c r="AK1" s="54">
        <f>Public_Final!AT31</f>
        <v>2049</v>
      </c>
      <c r="AL1" s="54">
        <f>Public_Final!AU31</f>
        <v>2050</v>
      </c>
    </row>
    <row r="2" spans="1:38" s="156" customFormat="1">
      <c r="A2" t="str">
        <f>Public_Final!B32</f>
        <v>electricity(BTU)</v>
      </c>
      <c r="B2">
        <f>Public_Final!K32</f>
        <v>5989463903502.4844</v>
      </c>
      <c r="C2">
        <f>Public_Final!L32</f>
        <v>5663644059639.2637</v>
      </c>
      <c r="D2">
        <f>Public_Final!M32</f>
        <v>5576924596909.5313</v>
      </c>
      <c r="E2">
        <f>Public_Final!N32</f>
        <v>5237766016664.7881</v>
      </c>
      <c r="F2">
        <f>Public_Final!O32</f>
        <v>5341846561856.5674</v>
      </c>
      <c r="G2">
        <f>Public_Final!P32</f>
        <v>5333786542246.3125</v>
      </c>
      <c r="H2">
        <f>Public_Final!Q32</f>
        <v>5670530104795.2021</v>
      </c>
      <c r="I2">
        <f>Public_Final!R32</f>
        <v>5749017426606.875</v>
      </c>
      <c r="J2">
        <f>Public_Final!S32</f>
        <v>7461048757965.0508</v>
      </c>
      <c r="K2">
        <f>Public_Final!T32</f>
        <v>7838739466724.8672</v>
      </c>
      <c r="L2">
        <f>Public_Final!U32</f>
        <v>8224902775352.1904</v>
      </c>
      <c r="M2">
        <f>Public_Final!V32</f>
        <v>8614654270946.0859</v>
      </c>
      <c r="N2">
        <f>Public_Final!W32</f>
        <v>9022615655324.8203</v>
      </c>
      <c r="O2">
        <f>Public_Final!X32</f>
        <v>9450842998631.5449</v>
      </c>
      <c r="P2">
        <f>Public_Final!Y32</f>
        <v>9899170064323.5527</v>
      </c>
      <c r="Q2">
        <f>Public_Final!Z32</f>
        <v>10364456576160.748</v>
      </c>
      <c r="R2">
        <f>Public_Final!AA32</f>
        <v>10845308244615.086</v>
      </c>
      <c r="S2">
        <f>Public_Final!AB32</f>
        <v>11338732461515.264</v>
      </c>
      <c r="T2">
        <f>Public_Final!AC32</f>
        <v>11847244594097.602</v>
      </c>
      <c r="U2">
        <f>Public_Final!AD32</f>
        <v>12372331834926.938</v>
      </c>
      <c r="V2">
        <f>Public_Final!AE32</f>
        <v>12915021946355.76</v>
      </c>
      <c r="W2">
        <f>Public_Final!AF32</f>
        <v>13477966122037.721</v>
      </c>
      <c r="X2">
        <f>Public_Final!AG32</f>
        <v>14045072549014.51</v>
      </c>
      <c r="Y2">
        <f>Public_Final!AH32</f>
        <v>14630820567318.27</v>
      </c>
      <c r="Z2">
        <f>Public_Final!AI32</f>
        <v>15228756442961.65</v>
      </c>
      <c r="AA2">
        <f>Public_Final!AJ32</f>
        <v>15836106768878.033</v>
      </c>
      <c r="AB2">
        <f>Public_Final!AK32</f>
        <v>16452333309500.719</v>
      </c>
      <c r="AC2">
        <f>Public_Final!AL32</f>
        <v>17077483798824.352</v>
      </c>
      <c r="AD2">
        <f>Public_Final!AM32</f>
        <v>17712084838550.148</v>
      </c>
      <c r="AE2">
        <f>Public_Final!AN32</f>
        <v>18358119927043.75</v>
      </c>
      <c r="AF2">
        <f>Public_Final!AO32</f>
        <v>19013465735384.352</v>
      </c>
      <c r="AG2">
        <f>Public_Final!AP32</f>
        <v>19678119524020.047</v>
      </c>
      <c r="AH2">
        <f>Public_Final!AQ32</f>
        <v>20349623149101.32</v>
      </c>
      <c r="AI2">
        <f>Public_Final!AR32</f>
        <v>21435167047145.801</v>
      </c>
      <c r="AJ2">
        <f>Public_Final!AS32</f>
        <v>22246708987902.008</v>
      </c>
      <c r="AK2">
        <f>Public_Final!AT32</f>
        <v>23082351222235.148</v>
      </c>
      <c r="AL2">
        <f>Public_Final!AU32</f>
        <v>23942667890256.023</v>
      </c>
    </row>
    <row r="3" spans="1:38" s="156" customFormat="1">
      <c r="A3" t="str">
        <f>Public_Final!B33</f>
        <v>coal(BTU)</v>
      </c>
      <c r="B3">
        <f>Public_Final!K33</f>
        <v>0</v>
      </c>
      <c r="C3">
        <f>Public_Final!L33</f>
        <v>0</v>
      </c>
      <c r="D3">
        <f>Public_Final!M33</f>
        <v>0</v>
      </c>
      <c r="E3">
        <f>Public_Final!N33</f>
        <v>0</v>
      </c>
      <c r="F3">
        <f>Public_Final!O33</f>
        <v>0</v>
      </c>
      <c r="G3">
        <f>Public_Final!P33</f>
        <v>0</v>
      </c>
      <c r="H3">
        <f>Public_Final!Q33</f>
        <v>0</v>
      </c>
      <c r="I3">
        <f>Public_Final!R33</f>
        <v>0</v>
      </c>
      <c r="J3">
        <f>Public_Final!S33</f>
        <v>0</v>
      </c>
      <c r="K3">
        <f>Public_Final!T33</f>
        <v>0</v>
      </c>
      <c r="L3">
        <f>Public_Final!U33</f>
        <v>0</v>
      </c>
      <c r="M3">
        <f>Public_Final!V33</f>
        <v>0</v>
      </c>
      <c r="N3">
        <f>Public_Final!W33</f>
        <v>0</v>
      </c>
      <c r="O3">
        <f>Public_Final!X33</f>
        <v>0</v>
      </c>
      <c r="P3">
        <f>Public_Final!Y33</f>
        <v>0</v>
      </c>
      <c r="Q3">
        <f>Public_Final!Z33</f>
        <v>0</v>
      </c>
      <c r="R3">
        <f>Public_Final!AA33</f>
        <v>0</v>
      </c>
      <c r="S3">
        <f>Public_Final!AB33</f>
        <v>0</v>
      </c>
      <c r="T3">
        <f>Public_Final!AC33</f>
        <v>0</v>
      </c>
      <c r="U3">
        <f>Public_Final!AD33</f>
        <v>0</v>
      </c>
      <c r="V3">
        <f>Public_Final!AE33</f>
        <v>0</v>
      </c>
      <c r="W3">
        <f>Public_Final!AF33</f>
        <v>0</v>
      </c>
      <c r="X3">
        <f>Public_Final!AG33</f>
        <v>0</v>
      </c>
      <c r="Y3">
        <f>Public_Final!AH33</f>
        <v>0</v>
      </c>
      <c r="Z3">
        <f>Public_Final!AI33</f>
        <v>0</v>
      </c>
      <c r="AA3">
        <f>Public_Final!AJ33</f>
        <v>0</v>
      </c>
      <c r="AB3">
        <f>Public_Final!AK33</f>
        <v>0</v>
      </c>
      <c r="AC3">
        <f>Public_Final!AL33</f>
        <v>0</v>
      </c>
      <c r="AD3">
        <f>Public_Final!AM33</f>
        <v>0</v>
      </c>
      <c r="AE3">
        <f>Public_Final!AN33</f>
        <v>0</v>
      </c>
      <c r="AF3">
        <f>Public_Final!AO33</f>
        <v>0</v>
      </c>
      <c r="AG3">
        <f>Public_Final!AP33</f>
        <v>0</v>
      </c>
      <c r="AH3">
        <f>Public_Final!AQ33</f>
        <v>0</v>
      </c>
      <c r="AI3">
        <f>Public_Final!AR33</f>
        <v>0</v>
      </c>
      <c r="AJ3">
        <f>Public_Final!AS33</f>
        <v>0</v>
      </c>
      <c r="AK3">
        <f>Public_Final!AT33</f>
        <v>0</v>
      </c>
      <c r="AL3">
        <f>Public_Final!AU33</f>
        <v>0</v>
      </c>
    </row>
    <row r="4" spans="1:38" s="156" customFormat="1">
      <c r="A4" t="str">
        <f>Public_Final!B34</f>
        <v>natural gas(BTU)</v>
      </c>
      <c r="B4">
        <f>Public_Final!K34</f>
        <v>4919833759714.708</v>
      </c>
      <c r="C4">
        <f>Public_Final!L34</f>
        <v>4807369473976.7559</v>
      </c>
      <c r="D4">
        <f>Public_Final!M34</f>
        <v>4868443763162.2383</v>
      </c>
      <c r="E4">
        <f>Public_Final!N34</f>
        <v>4646152680540.4873</v>
      </c>
      <c r="F4">
        <f>Public_Final!O34</f>
        <v>4644637305495.7598</v>
      </c>
      <c r="G4">
        <f>Public_Final!P34</f>
        <v>4544915658733.2666</v>
      </c>
      <c r="H4">
        <f>Public_Final!Q34</f>
        <v>4866493691799.4854</v>
      </c>
      <c r="I4">
        <f>Public_Final!R34</f>
        <v>4790964873261.8984</v>
      </c>
      <c r="J4">
        <f>Public_Final!S34</f>
        <v>4809703468465.127</v>
      </c>
      <c r="K4">
        <f>Public_Final!T34</f>
        <v>4877145100102.6582</v>
      </c>
      <c r="L4">
        <f>Public_Final!U34</f>
        <v>4939875681919.5664</v>
      </c>
      <c r="M4">
        <f>Public_Final!V34</f>
        <v>4995095653169.1455</v>
      </c>
      <c r="N4">
        <f>Public_Final!W34</f>
        <v>5051314068720.0742</v>
      </c>
      <c r="O4">
        <f>Public_Final!X34</f>
        <v>5109097317626.6006</v>
      </c>
      <c r="P4">
        <f>Public_Final!Y34</f>
        <v>5167738364413.7676</v>
      </c>
      <c r="Q4">
        <f>Public_Final!Z34</f>
        <v>5225086729841.7559</v>
      </c>
      <c r="R4">
        <f>Public_Final!AA34</f>
        <v>5280098558987.4893</v>
      </c>
      <c r="S4">
        <f>Public_Final!AB34</f>
        <v>5331096617839.7217</v>
      </c>
      <c r="T4">
        <f>Public_Final!AC34</f>
        <v>5379115790880.7285</v>
      </c>
      <c r="U4">
        <f>Public_Final!AD34</f>
        <v>5424590410454.5732</v>
      </c>
      <c r="V4">
        <f>Public_Final!AE34</f>
        <v>5467684780981.8252</v>
      </c>
      <c r="W4">
        <f>Public_Final!AF34</f>
        <v>5509184153151.9697</v>
      </c>
      <c r="X4">
        <f>Public_Final!AG34</f>
        <v>5542346452276.4688</v>
      </c>
      <c r="Y4">
        <f>Public_Final!AH34</f>
        <v>5572980878044.6279</v>
      </c>
      <c r="Z4">
        <f>Public_Final!AI34</f>
        <v>5598413806729.5908</v>
      </c>
      <c r="AA4">
        <f>Public_Final!AJ34</f>
        <v>5617627984538.1133</v>
      </c>
      <c r="AB4">
        <f>Public_Final!AK34</f>
        <v>5630511852559.0742</v>
      </c>
      <c r="AC4">
        <f>Public_Final!AL34</f>
        <v>5637169217203.5762</v>
      </c>
      <c r="AD4">
        <f>Public_Final!AM34</f>
        <v>5637849039840.8301</v>
      </c>
      <c r="AE4">
        <f>Public_Final!AN34</f>
        <v>5633218638250.207</v>
      </c>
      <c r="AF4">
        <f>Public_Final!AO34</f>
        <v>5622639300607.5928</v>
      </c>
      <c r="AG4">
        <f>Public_Final!AP34</f>
        <v>5606169046751.792</v>
      </c>
      <c r="AH4">
        <f>Public_Final!AQ34</f>
        <v>5583189183942.8809</v>
      </c>
      <c r="AI4">
        <f>Public_Final!AR34</f>
        <v>5661373629536.0518</v>
      </c>
      <c r="AJ4">
        <f>Public_Final!AS34</f>
        <v>5653798833358.6777</v>
      </c>
      <c r="AK4">
        <f>Public_Final!AT34</f>
        <v>5641947977251.3965</v>
      </c>
      <c r="AL4">
        <f>Public_Final!AU34</f>
        <v>5625666671362.1582</v>
      </c>
    </row>
    <row r="5" spans="1:38" s="156" customFormat="1">
      <c r="A5" t="str">
        <f>Public_Final!B35</f>
        <v>petroleum diesel (BTU)</v>
      </c>
      <c r="B5">
        <f>Public_Final!K35</f>
        <v>0</v>
      </c>
      <c r="C5">
        <f>Public_Final!L35</f>
        <v>0</v>
      </c>
      <c r="D5">
        <f>Public_Final!M35</f>
        <v>0</v>
      </c>
      <c r="E5">
        <f>Public_Final!N35</f>
        <v>0</v>
      </c>
      <c r="F5">
        <f>Public_Final!O35</f>
        <v>0</v>
      </c>
      <c r="G5">
        <f>Public_Final!P35</f>
        <v>0</v>
      </c>
      <c r="H5">
        <f>Public_Final!Q35</f>
        <v>0</v>
      </c>
      <c r="I5">
        <f>Public_Final!R35</f>
        <v>0</v>
      </c>
      <c r="J5">
        <f>Public_Final!S35</f>
        <v>0</v>
      </c>
      <c r="K5">
        <f>Public_Final!T35</f>
        <v>0</v>
      </c>
      <c r="L5">
        <f>Public_Final!U35</f>
        <v>0</v>
      </c>
      <c r="M5">
        <f>Public_Final!V35</f>
        <v>0</v>
      </c>
      <c r="N5">
        <f>Public_Final!W35</f>
        <v>0</v>
      </c>
      <c r="O5">
        <f>Public_Final!X35</f>
        <v>0</v>
      </c>
      <c r="P5">
        <f>Public_Final!Y35</f>
        <v>0</v>
      </c>
      <c r="Q5">
        <f>Public_Final!Z35</f>
        <v>0</v>
      </c>
      <c r="R5">
        <f>Public_Final!AA35</f>
        <v>0</v>
      </c>
      <c r="S5">
        <f>Public_Final!AB35</f>
        <v>0</v>
      </c>
      <c r="T5">
        <f>Public_Final!AC35</f>
        <v>0</v>
      </c>
      <c r="U5">
        <f>Public_Final!AD35</f>
        <v>0</v>
      </c>
      <c r="V5">
        <f>Public_Final!AE35</f>
        <v>0</v>
      </c>
      <c r="W5">
        <f>Public_Final!AF35</f>
        <v>0</v>
      </c>
      <c r="X5">
        <f>Public_Final!AG35</f>
        <v>0</v>
      </c>
      <c r="Y5">
        <f>Public_Final!AH35</f>
        <v>0</v>
      </c>
      <c r="Z5">
        <f>Public_Final!AI35</f>
        <v>0</v>
      </c>
      <c r="AA5">
        <f>Public_Final!AJ35</f>
        <v>0</v>
      </c>
      <c r="AB5">
        <f>Public_Final!AK35</f>
        <v>0</v>
      </c>
      <c r="AC5">
        <f>Public_Final!AL35</f>
        <v>0</v>
      </c>
      <c r="AD5">
        <f>Public_Final!AM35</f>
        <v>0</v>
      </c>
      <c r="AE5">
        <f>Public_Final!AN35</f>
        <v>0</v>
      </c>
      <c r="AF5">
        <f>Public_Final!AO35</f>
        <v>0</v>
      </c>
      <c r="AG5">
        <f>Public_Final!AP35</f>
        <v>0</v>
      </c>
      <c r="AH5">
        <f>Public_Final!AQ35</f>
        <v>0</v>
      </c>
      <c r="AI5">
        <f>Public_Final!AR35</f>
        <v>0</v>
      </c>
      <c r="AJ5">
        <f>Public_Final!AS35</f>
        <v>0</v>
      </c>
      <c r="AK5">
        <f>Public_Final!AT35</f>
        <v>0</v>
      </c>
      <c r="AL5">
        <f>Public_Final!AU35</f>
        <v>0</v>
      </c>
    </row>
    <row r="6" spans="1:38">
      <c r="A6" t="str">
        <f>Public_Final!B36</f>
        <v>heat (BTU)</v>
      </c>
      <c r="B6">
        <f>Public_Final!K36</f>
        <v>0</v>
      </c>
      <c r="C6">
        <f>Public_Final!L36</f>
        <v>0</v>
      </c>
      <c r="D6">
        <f>Public_Final!M36</f>
        <v>0</v>
      </c>
      <c r="E6">
        <f>Public_Final!N36</f>
        <v>0</v>
      </c>
      <c r="F6">
        <f>Public_Final!O36</f>
        <v>0</v>
      </c>
      <c r="G6">
        <f>Public_Final!P36</f>
        <v>0</v>
      </c>
      <c r="H6">
        <f>Public_Final!Q36</f>
        <v>0</v>
      </c>
      <c r="I6">
        <f>Public_Final!R36</f>
        <v>0</v>
      </c>
      <c r="J6">
        <f>Public_Final!S36</f>
        <v>0</v>
      </c>
      <c r="K6">
        <f>Public_Final!T36</f>
        <v>0</v>
      </c>
      <c r="L6">
        <f>Public_Final!U36</f>
        <v>0</v>
      </c>
      <c r="M6">
        <f>Public_Final!V36</f>
        <v>0</v>
      </c>
      <c r="N6">
        <f>Public_Final!W36</f>
        <v>0</v>
      </c>
      <c r="O6">
        <f>Public_Final!X36</f>
        <v>0</v>
      </c>
      <c r="P6">
        <f>Public_Final!Y36</f>
        <v>0</v>
      </c>
      <c r="Q6">
        <f>Public_Final!Z36</f>
        <v>0</v>
      </c>
      <c r="R6">
        <f>Public_Final!AA36</f>
        <v>0</v>
      </c>
      <c r="S6">
        <f>Public_Final!AB36</f>
        <v>0</v>
      </c>
      <c r="T6">
        <f>Public_Final!AC36</f>
        <v>0</v>
      </c>
      <c r="U6">
        <f>Public_Final!AD36</f>
        <v>0</v>
      </c>
      <c r="V6">
        <f>Public_Final!AE36</f>
        <v>0</v>
      </c>
      <c r="W6">
        <f>Public_Final!AF36</f>
        <v>0</v>
      </c>
      <c r="X6">
        <f>Public_Final!AG36</f>
        <v>0</v>
      </c>
      <c r="Y6">
        <f>Public_Final!AH36</f>
        <v>0</v>
      </c>
      <c r="Z6">
        <f>Public_Final!AI36</f>
        <v>0</v>
      </c>
      <c r="AA6">
        <f>Public_Final!AJ36</f>
        <v>0</v>
      </c>
      <c r="AB6">
        <f>Public_Final!AK36</f>
        <v>0</v>
      </c>
      <c r="AC6">
        <f>Public_Final!AL36</f>
        <v>0</v>
      </c>
      <c r="AD6">
        <f>Public_Final!AM36</f>
        <v>0</v>
      </c>
      <c r="AE6">
        <f>Public_Final!AN36</f>
        <v>0</v>
      </c>
      <c r="AF6">
        <f>Public_Final!AO36</f>
        <v>0</v>
      </c>
      <c r="AG6">
        <f>Public_Final!AP36</f>
        <v>0</v>
      </c>
      <c r="AH6">
        <f>Public_Final!AQ36</f>
        <v>0</v>
      </c>
      <c r="AI6">
        <f>Public_Final!AR36</f>
        <v>0</v>
      </c>
      <c r="AJ6">
        <f>Public_Final!AS36</f>
        <v>0</v>
      </c>
      <c r="AK6">
        <f>Public_Final!AT36</f>
        <v>0</v>
      </c>
      <c r="AL6">
        <f>Public_Final!AU36</f>
        <v>0</v>
      </c>
    </row>
    <row r="7" spans="1:38">
      <c r="A7" t="str">
        <f>Public_Final!B37</f>
        <v>biomass (BTU)</v>
      </c>
      <c r="B7">
        <f>Public_Final!K37</f>
        <v>0</v>
      </c>
      <c r="C7">
        <f>Public_Final!L37</f>
        <v>0</v>
      </c>
      <c r="D7">
        <f>Public_Final!M37</f>
        <v>0</v>
      </c>
      <c r="E7">
        <f>Public_Final!N37</f>
        <v>0</v>
      </c>
      <c r="F7">
        <f>Public_Final!O37</f>
        <v>0</v>
      </c>
      <c r="G7">
        <f>Public_Final!P37</f>
        <v>0</v>
      </c>
      <c r="H7">
        <f>Public_Final!Q37</f>
        <v>0</v>
      </c>
      <c r="I7">
        <f>Public_Final!R37</f>
        <v>0</v>
      </c>
      <c r="J7">
        <f>Public_Final!S37</f>
        <v>0</v>
      </c>
      <c r="K7">
        <f>Public_Final!T37</f>
        <v>0</v>
      </c>
      <c r="L7">
        <f>Public_Final!U37</f>
        <v>0</v>
      </c>
      <c r="M7">
        <f>Public_Final!V37</f>
        <v>0</v>
      </c>
      <c r="N7">
        <f>Public_Final!W37</f>
        <v>0</v>
      </c>
      <c r="O7">
        <f>Public_Final!X37</f>
        <v>0</v>
      </c>
      <c r="P7">
        <f>Public_Final!Y37</f>
        <v>0</v>
      </c>
      <c r="Q7">
        <f>Public_Final!Z37</f>
        <v>0</v>
      </c>
      <c r="R7">
        <f>Public_Final!AA37</f>
        <v>0</v>
      </c>
      <c r="S7">
        <f>Public_Final!AB37</f>
        <v>0</v>
      </c>
      <c r="T7">
        <f>Public_Final!AC37</f>
        <v>0</v>
      </c>
      <c r="U7">
        <f>Public_Final!AD37</f>
        <v>0</v>
      </c>
      <c r="V7">
        <f>Public_Final!AE37</f>
        <v>0</v>
      </c>
      <c r="W7">
        <f>Public_Final!AF37</f>
        <v>0</v>
      </c>
      <c r="X7">
        <f>Public_Final!AG37</f>
        <v>0</v>
      </c>
      <c r="Y7">
        <f>Public_Final!AH37</f>
        <v>0</v>
      </c>
      <c r="Z7">
        <f>Public_Final!AI37</f>
        <v>0</v>
      </c>
      <c r="AA7">
        <f>Public_Final!AJ37</f>
        <v>0</v>
      </c>
      <c r="AB7">
        <f>Public_Final!AK37</f>
        <v>0</v>
      </c>
      <c r="AC7">
        <f>Public_Final!AL37</f>
        <v>0</v>
      </c>
      <c r="AD7">
        <f>Public_Final!AM37</f>
        <v>0</v>
      </c>
      <c r="AE7">
        <f>Public_Final!AN37</f>
        <v>0</v>
      </c>
      <c r="AF7">
        <f>Public_Final!AO37</f>
        <v>0</v>
      </c>
      <c r="AG7">
        <f>Public_Final!AP37</f>
        <v>0</v>
      </c>
      <c r="AH7">
        <f>Public_Final!AQ37</f>
        <v>0</v>
      </c>
      <c r="AI7">
        <f>Public_Final!AR37</f>
        <v>0</v>
      </c>
      <c r="AJ7">
        <f>Public_Final!AS37</f>
        <v>0</v>
      </c>
      <c r="AK7">
        <f>Public_Final!AT37</f>
        <v>0</v>
      </c>
      <c r="AL7">
        <f>Public_Final!AU37</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defaultColWidth="8.7265625" defaultRowHeight="14.5"/>
  <cols>
    <col min="1" max="1" width="19.7265625" bestFit="1" customWidth="1"/>
  </cols>
  <sheetData>
    <row r="1" spans="1:38" s="54" customFormat="1">
      <c r="A1" s="54" t="str">
        <f>Public_Final!B40</f>
        <v>Year</v>
      </c>
      <c r="B1" s="54">
        <f>Public_Final!K40</f>
        <v>2014</v>
      </c>
      <c r="C1" s="54">
        <f>Public_Final!L40</f>
        <v>2015</v>
      </c>
      <c r="D1" s="54">
        <f>Public_Final!M40</f>
        <v>2016</v>
      </c>
      <c r="E1" s="54">
        <f>Public_Final!N40</f>
        <v>2017</v>
      </c>
      <c r="F1" s="54">
        <f>Public_Final!O40</f>
        <v>2018</v>
      </c>
      <c r="G1" s="54">
        <f>Public_Final!P40</f>
        <v>2019</v>
      </c>
      <c r="H1" s="54">
        <f>Public_Final!Q40</f>
        <v>2020</v>
      </c>
      <c r="I1" s="54">
        <f>Public_Final!R40</f>
        <v>2021</v>
      </c>
      <c r="J1" s="54">
        <f>Public_Final!S40</f>
        <v>2022</v>
      </c>
      <c r="K1" s="54">
        <f>Public_Final!T40</f>
        <v>2023</v>
      </c>
      <c r="L1" s="54">
        <f>Public_Final!U40</f>
        <v>2024</v>
      </c>
      <c r="M1" s="54">
        <f>Public_Final!V40</f>
        <v>2025</v>
      </c>
      <c r="N1" s="54">
        <f>Public_Final!W40</f>
        <v>2026</v>
      </c>
      <c r="O1" s="54">
        <f>Public_Final!X40</f>
        <v>2027</v>
      </c>
      <c r="P1" s="54">
        <f>Public_Final!Y40</f>
        <v>2028</v>
      </c>
      <c r="Q1" s="54">
        <f>Public_Final!Z40</f>
        <v>2029</v>
      </c>
      <c r="R1" s="54">
        <f>Public_Final!AA40</f>
        <v>2030</v>
      </c>
      <c r="S1" s="54">
        <f>Public_Final!AB40</f>
        <v>2031</v>
      </c>
      <c r="T1" s="54">
        <f>Public_Final!AC40</f>
        <v>2032</v>
      </c>
      <c r="U1" s="54">
        <f>Public_Final!AD40</f>
        <v>2033</v>
      </c>
      <c r="V1" s="54">
        <f>Public_Final!AE40</f>
        <v>2034</v>
      </c>
      <c r="W1" s="54">
        <f>Public_Final!AF40</f>
        <v>2035</v>
      </c>
      <c r="X1" s="54">
        <f>Public_Final!AG40</f>
        <v>2036</v>
      </c>
      <c r="Y1" s="54">
        <f>Public_Final!AH40</f>
        <v>2037</v>
      </c>
      <c r="Z1" s="54">
        <f>Public_Final!AI40</f>
        <v>2038</v>
      </c>
      <c r="AA1" s="54">
        <f>Public_Final!AJ40</f>
        <v>2039</v>
      </c>
      <c r="AB1" s="54">
        <f>Public_Final!AK40</f>
        <v>2040</v>
      </c>
      <c r="AC1" s="54">
        <f>Public_Final!AL40</f>
        <v>2041</v>
      </c>
      <c r="AD1" s="54">
        <f>Public_Final!AM40</f>
        <v>2042</v>
      </c>
      <c r="AE1" s="54">
        <f>Public_Final!AN40</f>
        <v>2043</v>
      </c>
      <c r="AF1" s="54">
        <f>Public_Final!AO40</f>
        <v>2044</v>
      </c>
      <c r="AG1" s="54">
        <f>Public_Final!AP40</f>
        <v>2045</v>
      </c>
      <c r="AH1" s="54">
        <f>Public_Final!AQ40</f>
        <v>2046</v>
      </c>
      <c r="AI1" s="54">
        <f>Public_Final!AR40</f>
        <v>2047</v>
      </c>
      <c r="AJ1" s="54">
        <f>Public_Final!AS40</f>
        <v>2048</v>
      </c>
      <c r="AK1" s="54">
        <f>Public_Final!AT40</f>
        <v>2049</v>
      </c>
      <c r="AL1" s="54">
        <f>Public_Final!AU40</f>
        <v>2050</v>
      </c>
    </row>
    <row r="2" spans="1:38" s="156" customFormat="1">
      <c r="A2" t="str">
        <f>Public_Final!B41</f>
        <v>electricity(BTU)</v>
      </c>
      <c r="B2">
        <f>Public_Final!K41</f>
        <v>1170695829551.0999</v>
      </c>
      <c r="C2">
        <f>Public_Final!L41</f>
        <v>1236817405456.3582</v>
      </c>
      <c r="D2">
        <f>Public_Final!M41</f>
        <v>1328912585374.1802</v>
      </c>
      <c r="E2">
        <f>Public_Final!N41</f>
        <v>569863960195.99072</v>
      </c>
      <c r="F2">
        <f>Public_Final!O41</f>
        <v>582069734927.3988</v>
      </c>
      <c r="G2">
        <f>Public_Final!P41</f>
        <v>584908808586.80835</v>
      </c>
      <c r="H2">
        <f>Public_Final!Q41</f>
        <v>620899045335.50696</v>
      </c>
      <c r="I2">
        <f>Public_Final!R41</f>
        <v>630812288132.75012</v>
      </c>
      <c r="J2">
        <f>Public_Final!S41</f>
        <v>1419835034706.3447</v>
      </c>
      <c r="K2">
        <f>Public_Final!T41</f>
        <v>1464066136949.8181</v>
      </c>
      <c r="L2">
        <f>Public_Final!U41</f>
        <v>1508327889993.1484</v>
      </c>
      <c r="M2">
        <f>Public_Final!V41</f>
        <v>1551746922705.9565</v>
      </c>
      <c r="N2">
        <f>Public_Final!W41</f>
        <v>1596963195755.3127</v>
      </c>
      <c r="O2">
        <f>Public_Final!X41</f>
        <v>1644250326102.3306</v>
      </c>
      <c r="P2">
        <f>Public_Final!Y41</f>
        <v>1693484119446.3645</v>
      </c>
      <c r="Q2">
        <f>Public_Final!Z41</f>
        <v>1744048798356.2993</v>
      </c>
      <c r="R2">
        <f>Public_Final!AA41</f>
        <v>1795657904604.4409</v>
      </c>
      <c r="S2">
        <f>Public_Final!AB41</f>
        <v>1847783044627.241</v>
      </c>
      <c r="T2">
        <f>Public_Final!AC41</f>
        <v>1900812595136.4258</v>
      </c>
      <c r="U2">
        <f>Public_Final!AD41</f>
        <v>1954949123106.7424</v>
      </c>
      <c r="V2">
        <f>Public_Final!AE41</f>
        <v>2010311950580.0161</v>
      </c>
      <c r="W2">
        <f>Public_Final!AF41</f>
        <v>2067262817138.1218</v>
      </c>
      <c r="X2">
        <f>Public_Final!AG41</f>
        <v>2123309573414.1702</v>
      </c>
      <c r="Y2">
        <f>Public_Final!AH41</f>
        <v>2180657726989.8628</v>
      </c>
      <c r="Z2">
        <f>Public_Final!AI41</f>
        <v>2238313541471.4517</v>
      </c>
      <c r="AA2">
        <f>Public_Final!AJ41</f>
        <v>2295871430621.3857</v>
      </c>
      <c r="AB2">
        <f>Public_Final!AK41</f>
        <v>2353267380520.228</v>
      </c>
      <c r="AC2">
        <f>Public_Final!AL41</f>
        <v>2410523475577.5015</v>
      </c>
      <c r="AD2">
        <f>Public_Final!AM41</f>
        <v>2467727370134.4478</v>
      </c>
      <c r="AE2">
        <f>Public_Final!AN41</f>
        <v>2525162650279.0083</v>
      </c>
      <c r="AF2">
        <f>Public_Final!AO41</f>
        <v>2582540897203.665</v>
      </c>
      <c r="AG2">
        <f>Public_Final!AP41</f>
        <v>2639872498266.207</v>
      </c>
      <c r="AH2">
        <f>Public_Final!AQ41</f>
        <v>2696841953104.2646</v>
      </c>
      <c r="AI2">
        <f>Public_Final!AR41</f>
        <v>2806789548691.7227</v>
      </c>
      <c r="AJ2">
        <f>Public_Final!AS41</f>
        <v>2878820172167.6514</v>
      </c>
      <c r="AK2">
        <f>Public_Final!AT41</f>
        <v>2952394948277.8984</v>
      </c>
      <c r="AL2">
        <f>Public_Final!AU41</f>
        <v>3027544003695.043</v>
      </c>
    </row>
    <row r="3" spans="1:38" s="156" customFormat="1">
      <c r="A3" t="str">
        <f>Public_Final!B42</f>
        <v>coal(BTU)</v>
      </c>
      <c r="B3">
        <f>Public_Final!K42</f>
        <v>0</v>
      </c>
      <c r="C3">
        <f>Public_Final!L42</f>
        <v>0</v>
      </c>
      <c r="D3">
        <f>Public_Final!M42</f>
        <v>0</v>
      </c>
      <c r="E3">
        <f>Public_Final!N42</f>
        <v>0</v>
      </c>
      <c r="F3">
        <f>Public_Final!O42</f>
        <v>0</v>
      </c>
      <c r="G3">
        <f>Public_Final!P42</f>
        <v>0</v>
      </c>
      <c r="H3">
        <f>Public_Final!Q42</f>
        <v>0</v>
      </c>
      <c r="I3">
        <f>Public_Final!R42</f>
        <v>0</v>
      </c>
      <c r="J3">
        <f>Public_Final!S42</f>
        <v>0</v>
      </c>
      <c r="K3">
        <f>Public_Final!T42</f>
        <v>0</v>
      </c>
      <c r="L3">
        <f>Public_Final!U42</f>
        <v>0</v>
      </c>
      <c r="M3">
        <f>Public_Final!V42</f>
        <v>0</v>
      </c>
      <c r="N3">
        <f>Public_Final!W42</f>
        <v>0</v>
      </c>
      <c r="O3">
        <f>Public_Final!X42</f>
        <v>0</v>
      </c>
      <c r="P3">
        <f>Public_Final!Y42</f>
        <v>0</v>
      </c>
      <c r="Q3">
        <f>Public_Final!Z42</f>
        <v>0</v>
      </c>
      <c r="R3">
        <f>Public_Final!AA42</f>
        <v>0</v>
      </c>
      <c r="S3">
        <f>Public_Final!AB42</f>
        <v>0</v>
      </c>
      <c r="T3">
        <f>Public_Final!AC42</f>
        <v>0</v>
      </c>
      <c r="U3">
        <f>Public_Final!AD42</f>
        <v>0</v>
      </c>
      <c r="V3">
        <f>Public_Final!AE42</f>
        <v>0</v>
      </c>
      <c r="W3">
        <f>Public_Final!AF42</f>
        <v>0</v>
      </c>
      <c r="X3">
        <f>Public_Final!AG42</f>
        <v>0</v>
      </c>
      <c r="Y3">
        <f>Public_Final!AH42</f>
        <v>0</v>
      </c>
      <c r="Z3">
        <f>Public_Final!AI42</f>
        <v>0</v>
      </c>
      <c r="AA3">
        <f>Public_Final!AJ42</f>
        <v>0</v>
      </c>
      <c r="AB3">
        <f>Public_Final!AK42</f>
        <v>0</v>
      </c>
      <c r="AC3">
        <f>Public_Final!AL42</f>
        <v>0</v>
      </c>
      <c r="AD3">
        <f>Public_Final!AM42</f>
        <v>0</v>
      </c>
      <c r="AE3">
        <f>Public_Final!AN42</f>
        <v>0</v>
      </c>
      <c r="AF3">
        <f>Public_Final!AO42</f>
        <v>0</v>
      </c>
      <c r="AG3">
        <f>Public_Final!AP42</f>
        <v>0</v>
      </c>
      <c r="AH3">
        <f>Public_Final!AQ42</f>
        <v>0</v>
      </c>
      <c r="AI3">
        <f>Public_Final!AR42</f>
        <v>0</v>
      </c>
      <c r="AJ3">
        <f>Public_Final!AS42</f>
        <v>0</v>
      </c>
      <c r="AK3">
        <f>Public_Final!AT42</f>
        <v>0</v>
      </c>
      <c r="AL3">
        <f>Public_Final!AU42</f>
        <v>0</v>
      </c>
    </row>
    <row r="4" spans="1:38" s="156" customFormat="1">
      <c r="A4" t="str">
        <f>Public_Final!B43</f>
        <v>natural gas(BTU)</v>
      </c>
      <c r="B4">
        <f>Public_Final!K43</f>
        <v>18626531106.738811</v>
      </c>
      <c r="C4">
        <f>Public_Final!L43</f>
        <v>18693068115.209705</v>
      </c>
      <c r="D4">
        <f>Public_Final!M43</f>
        <v>18554135302.855259</v>
      </c>
      <c r="E4">
        <f>Public_Final!N43</f>
        <v>784160789.96463931</v>
      </c>
      <c r="F4">
        <f>Public_Final!O43</f>
        <v>1495135137.7742667</v>
      </c>
      <c r="G4">
        <f>Public_Final!P43</f>
        <v>1554614557.4596429</v>
      </c>
      <c r="H4">
        <f>Public_Final!Q43</f>
        <v>0</v>
      </c>
      <c r="I4">
        <f>Public_Final!R43</f>
        <v>0</v>
      </c>
      <c r="J4">
        <f>Public_Final!S43</f>
        <v>21993308415.609074</v>
      </c>
      <c r="K4">
        <f>Public_Final!T43</f>
        <v>22833927859.715553</v>
      </c>
      <c r="L4">
        <f>Public_Final!U43</f>
        <v>23666813472.445389</v>
      </c>
      <c r="M4">
        <f>Public_Final!V43</f>
        <v>24476708845.490456</v>
      </c>
      <c r="N4">
        <f>Public_Final!W43</f>
        <v>25303782846.64275</v>
      </c>
      <c r="O4">
        <f>Public_Final!X43</f>
        <v>26151265703.994789</v>
      </c>
      <c r="P4">
        <f>Public_Final!Y43</f>
        <v>27015978064.940319</v>
      </c>
      <c r="Q4">
        <f>Public_Final!Z43</f>
        <v>27886727990.643696</v>
      </c>
      <c r="R4">
        <f>Public_Final!AA43</f>
        <v>28757410627.602215</v>
      </c>
      <c r="S4">
        <f>Public_Final!AB43</f>
        <v>29617945633.921585</v>
      </c>
      <c r="T4">
        <f>Public_Final!AC43</f>
        <v>30472883023.017925</v>
      </c>
      <c r="U4">
        <f>Public_Final!AD43</f>
        <v>31323757128.165512</v>
      </c>
      <c r="V4">
        <f>Public_Final!AE43</f>
        <v>32170703115.600235</v>
      </c>
      <c r="W4">
        <f>Public_Final!AF43</f>
        <v>33017649153.380493</v>
      </c>
      <c r="X4">
        <f>Public_Final!AG43</f>
        <v>33822930273.391209</v>
      </c>
      <c r="Y4">
        <f>Public_Final!AH43</f>
        <v>34619899070.114731</v>
      </c>
      <c r="Z4">
        <f>Public_Final!AI43</f>
        <v>35390826144.273293</v>
      </c>
      <c r="AA4">
        <f>Public_Final!AJ43</f>
        <v>36127462869.843361</v>
      </c>
      <c r="AB4">
        <f>Public_Final!AK43</f>
        <v>36827037998.955475</v>
      </c>
      <c r="AC4">
        <f>Public_Final!AL43</f>
        <v>37488162724.551895</v>
      </c>
      <c r="AD4">
        <f>Public_Final!AM43</f>
        <v>38110474046.171028</v>
      </c>
      <c r="AE4">
        <f>Public_Final!AN43</f>
        <v>38696591059.644066</v>
      </c>
      <c r="AF4">
        <f>Public_Final!AO43</f>
        <v>39240309868.996162</v>
      </c>
      <c r="AG4">
        <f>Public_Final!AP43</f>
        <v>39740084553.091614</v>
      </c>
      <c r="AH4">
        <f>Public_Final!AQ43</f>
        <v>40189522604.976074</v>
      </c>
      <c r="AI4">
        <f>Public_Final!AR43</f>
        <v>41373362429.558617</v>
      </c>
      <c r="AJ4">
        <f>Public_Final!AS43</f>
        <v>41938353934.894493</v>
      </c>
      <c r="AK4">
        <f>Public_Final!AT43</f>
        <v>42469630229.088005</v>
      </c>
      <c r="AL4">
        <f>Public_Final!AU43</f>
        <v>42964603547.926971</v>
      </c>
    </row>
    <row r="5" spans="1:38" s="156" customFormat="1">
      <c r="A5" t="str">
        <f>Public_Final!B44</f>
        <v>petroleum diesel (BTU)</v>
      </c>
      <c r="B5">
        <f>Public_Final!K44</f>
        <v>0</v>
      </c>
      <c r="C5">
        <f>Public_Final!L44</f>
        <v>0</v>
      </c>
      <c r="D5">
        <f>Public_Final!M44</f>
        <v>0</v>
      </c>
      <c r="E5">
        <f>Public_Final!N44</f>
        <v>0</v>
      </c>
      <c r="F5">
        <f>Public_Final!O44</f>
        <v>0</v>
      </c>
      <c r="G5">
        <f>Public_Final!P44</f>
        <v>0</v>
      </c>
      <c r="H5">
        <f>Public_Final!Q44</f>
        <v>0</v>
      </c>
      <c r="I5">
        <f>Public_Final!R44</f>
        <v>0</v>
      </c>
      <c r="J5">
        <f>Public_Final!S44</f>
        <v>0</v>
      </c>
      <c r="K5">
        <f>Public_Final!T44</f>
        <v>0</v>
      </c>
      <c r="L5">
        <f>Public_Final!U44</f>
        <v>0</v>
      </c>
      <c r="M5">
        <f>Public_Final!V44</f>
        <v>0</v>
      </c>
      <c r="N5">
        <f>Public_Final!W44</f>
        <v>0</v>
      </c>
      <c r="O5">
        <f>Public_Final!X44</f>
        <v>0</v>
      </c>
      <c r="P5">
        <f>Public_Final!Y44</f>
        <v>0</v>
      </c>
      <c r="Q5">
        <f>Public_Final!Z44</f>
        <v>0</v>
      </c>
      <c r="R5">
        <f>Public_Final!AA44</f>
        <v>0</v>
      </c>
      <c r="S5">
        <f>Public_Final!AB44</f>
        <v>0</v>
      </c>
      <c r="T5">
        <f>Public_Final!AC44</f>
        <v>0</v>
      </c>
      <c r="U5">
        <f>Public_Final!AD44</f>
        <v>0</v>
      </c>
      <c r="V5">
        <f>Public_Final!AE44</f>
        <v>0</v>
      </c>
      <c r="W5">
        <f>Public_Final!AF44</f>
        <v>0</v>
      </c>
      <c r="X5">
        <f>Public_Final!AG44</f>
        <v>0</v>
      </c>
      <c r="Y5">
        <f>Public_Final!AH44</f>
        <v>0</v>
      </c>
      <c r="Z5">
        <f>Public_Final!AI44</f>
        <v>0</v>
      </c>
      <c r="AA5">
        <f>Public_Final!AJ44</f>
        <v>0</v>
      </c>
      <c r="AB5">
        <f>Public_Final!AK44</f>
        <v>0</v>
      </c>
      <c r="AC5">
        <f>Public_Final!AL44</f>
        <v>0</v>
      </c>
      <c r="AD5">
        <f>Public_Final!AM44</f>
        <v>0</v>
      </c>
      <c r="AE5">
        <f>Public_Final!AN44</f>
        <v>0</v>
      </c>
      <c r="AF5">
        <f>Public_Final!AO44</f>
        <v>0</v>
      </c>
      <c r="AG5">
        <f>Public_Final!AP44</f>
        <v>0</v>
      </c>
      <c r="AH5">
        <f>Public_Final!AQ44</f>
        <v>0</v>
      </c>
      <c r="AI5">
        <f>Public_Final!AR44</f>
        <v>0</v>
      </c>
      <c r="AJ5">
        <f>Public_Final!AS44</f>
        <v>0</v>
      </c>
      <c r="AK5">
        <f>Public_Final!AT44</f>
        <v>0</v>
      </c>
      <c r="AL5">
        <f>Public_Final!AU44</f>
        <v>0</v>
      </c>
    </row>
    <row r="6" spans="1:38" s="156" customFormat="1">
      <c r="A6" t="str">
        <f>Public_Final!B45</f>
        <v>heat (BTU)</v>
      </c>
      <c r="B6">
        <f>Public_Final!K45</f>
        <v>0</v>
      </c>
      <c r="C6">
        <f>Public_Final!L45</f>
        <v>0</v>
      </c>
      <c r="D6">
        <f>Public_Final!M45</f>
        <v>0</v>
      </c>
      <c r="E6">
        <f>Public_Final!N45</f>
        <v>0</v>
      </c>
      <c r="F6">
        <f>Public_Final!O45</f>
        <v>0</v>
      </c>
      <c r="G6">
        <f>Public_Final!P45</f>
        <v>0</v>
      </c>
      <c r="H6">
        <f>Public_Final!Q45</f>
        <v>0</v>
      </c>
      <c r="I6">
        <f>Public_Final!R45</f>
        <v>0</v>
      </c>
      <c r="J6">
        <f>Public_Final!S45</f>
        <v>0</v>
      </c>
      <c r="K6">
        <f>Public_Final!T45</f>
        <v>0</v>
      </c>
      <c r="L6">
        <f>Public_Final!U45</f>
        <v>0</v>
      </c>
      <c r="M6">
        <f>Public_Final!V45</f>
        <v>0</v>
      </c>
      <c r="N6">
        <f>Public_Final!W45</f>
        <v>0</v>
      </c>
      <c r="O6">
        <f>Public_Final!X45</f>
        <v>0</v>
      </c>
      <c r="P6">
        <f>Public_Final!Y45</f>
        <v>0</v>
      </c>
      <c r="Q6">
        <f>Public_Final!Z45</f>
        <v>0</v>
      </c>
      <c r="R6">
        <f>Public_Final!AA45</f>
        <v>0</v>
      </c>
      <c r="S6">
        <f>Public_Final!AB45</f>
        <v>0</v>
      </c>
      <c r="T6">
        <f>Public_Final!AC45</f>
        <v>0</v>
      </c>
      <c r="U6">
        <f>Public_Final!AD45</f>
        <v>0</v>
      </c>
      <c r="V6">
        <f>Public_Final!AE45</f>
        <v>0</v>
      </c>
      <c r="W6">
        <f>Public_Final!AF45</f>
        <v>0</v>
      </c>
      <c r="X6">
        <f>Public_Final!AG45</f>
        <v>0</v>
      </c>
      <c r="Y6">
        <f>Public_Final!AH45</f>
        <v>0</v>
      </c>
      <c r="Z6">
        <f>Public_Final!AI45</f>
        <v>0</v>
      </c>
      <c r="AA6">
        <f>Public_Final!AJ45</f>
        <v>0</v>
      </c>
      <c r="AB6">
        <f>Public_Final!AK45</f>
        <v>0</v>
      </c>
      <c r="AC6">
        <f>Public_Final!AL45</f>
        <v>0</v>
      </c>
      <c r="AD6">
        <f>Public_Final!AM45</f>
        <v>0</v>
      </c>
      <c r="AE6">
        <f>Public_Final!AN45</f>
        <v>0</v>
      </c>
      <c r="AF6">
        <f>Public_Final!AO45</f>
        <v>0</v>
      </c>
      <c r="AG6">
        <f>Public_Final!AP45</f>
        <v>0</v>
      </c>
      <c r="AH6">
        <f>Public_Final!AQ45</f>
        <v>0</v>
      </c>
      <c r="AI6">
        <f>Public_Final!AR45</f>
        <v>0</v>
      </c>
      <c r="AJ6">
        <f>Public_Final!AS45</f>
        <v>0</v>
      </c>
      <c r="AK6">
        <f>Public_Final!AT45</f>
        <v>0</v>
      </c>
      <c r="AL6">
        <f>Public_Final!AU45</f>
        <v>0</v>
      </c>
    </row>
    <row r="7" spans="1:38" s="156" customFormat="1">
      <c r="A7" t="str">
        <f>Public_Final!B46</f>
        <v>biomass (BTU)</v>
      </c>
      <c r="B7">
        <f>Public_Final!K46</f>
        <v>0</v>
      </c>
      <c r="C7">
        <f>Public_Final!L46</f>
        <v>0</v>
      </c>
      <c r="D7">
        <f>Public_Final!M46</f>
        <v>0</v>
      </c>
      <c r="E7">
        <f>Public_Final!N46</f>
        <v>0</v>
      </c>
      <c r="F7">
        <f>Public_Final!O46</f>
        <v>0</v>
      </c>
      <c r="G7">
        <f>Public_Final!P46</f>
        <v>0</v>
      </c>
      <c r="H7">
        <f>Public_Final!Q46</f>
        <v>0</v>
      </c>
      <c r="I7">
        <f>Public_Final!R46</f>
        <v>0</v>
      </c>
      <c r="J7">
        <f>Public_Final!S46</f>
        <v>0</v>
      </c>
      <c r="K7">
        <f>Public_Final!T46</f>
        <v>0</v>
      </c>
      <c r="L7">
        <f>Public_Final!U46</f>
        <v>0</v>
      </c>
      <c r="M7">
        <f>Public_Final!V46</f>
        <v>0</v>
      </c>
      <c r="N7">
        <f>Public_Final!W46</f>
        <v>0</v>
      </c>
      <c r="O7">
        <f>Public_Final!X46</f>
        <v>0</v>
      </c>
      <c r="P7">
        <f>Public_Final!Y46</f>
        <v>0</v>
      </c>
      <c r="Q7">
        <f>Public_Final!Z46</f>
        <v>0</v>
      </c>
      <c r="R7">
        <f>Public_Final!AA46</f>
        <v>0</v>
      </c>
      <c r="S7">
        <f>Public_Final!AB46</f>
        <v>0</v>
      </c>
      <c r="T7">
        <f>Public_Final!AC46</f>
        <v>0</v>
      </c>
      <c r="U7">
        <f>Public_Final!AD46</f>
        <v>0</v>
      </c>
      <c r="V7">
        <f>Public_Final!AE46</f>
        <v>0</v>
      </c>
      <c r="W7">
        <f>Public_Final!AF46</f>
        <v>0</v>
      </c>
      <c r="X7">
        <f>Public_Final!AG46</f>
        <v>0</v>
      </c>
      <c r="Y7">
        <f>Public_Final!AH46</f>
        <v>0</v>
      </c>
      <c r="Z7">
        <f>Public_Final!AI46</f>
        <v>0</v>
      </c>
      <c r="AA7">
        <f>Public_Final!AJ46</f>
        <v>0</v>
      </c>
      <c r="AB7">
        <f>Public_Final!AK46</f>
        <v>0</v>
      </c>
      <c r="AC7">
        <f>Public_Final!AL46</f>
        <v>0</v>
      </c>
      <c r="AD7">
        <f>Public_Final!AM46</f>
        <v>0</v>
      </c>
      <c r="AE7">
        <f>Public_Final!AN46</f>
        <v>0</v>
      </c>
      <c r="AF7">
        <f>Public_Final!AO46</f>
        <v>0</v>
      </c>
      <c r="AG7">
        <f>Public_Final!AP46</f>
        <v>0</v>
      </c>
      <c r="AH7">
        <f>Public_Final!AQ46</f>
        <v>0</v>
      </c>
      <c r="AI7">
        <f>Public_Final!AR46</f>
        <v>0</v>
      </c>
      <c r="AJ7">
        <f>Public_Final!AS46</f>
        <v>0</v>
      </c>
      <c r="AK7">
        <f>Public_Final!AT46</f>
        <v>0</v>
      </c>
      <c r="AL7">
        <f>Public_Final!AU46</f>
        <v>0</v>
      </c>
    </row>
    <row r="8" spans="1:38">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4" tint="-0.499984740745262"/>
  </sheetPr>
  <dimension ref="A1:AN11"/>
  <sheetViews>
    <sheetView workbookViewId="0">
      <pane xSplit="1" ySplit="1" topLeftCell="B3" activePane="bottomRight" state="frozen"/>
      <selection pane="topRight" activeCell="Z21" sqref="Z21"/>
      <selection pane="bottomLeft" activeCell="Z21" sqref="Z21"/>
      <selection pane="bottomRight" activeCell="A8" sqref="A8:XFD11"/>
    </sheetView>
  </sheetViews>
  <sheetFormatPr defaultColWidth="8.7265625" defaultRowHeight="14.5"/>
  <cols>
    <col min="1" max="1" width="23.7265625" customWidth="1"/>
    <col min="2" max="2" width="10.726562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975</v>
      </c>
      <c r="B2" s="156">
        <f>Commercial_Final!K23</f>
        <v>0</v>
      </c>
      <c r="C2" s="156">
        <f>Commercial_Final!L23</f>
        <v>0</v>
      </c>
      <c r="D2" s="156">
        <f>Commercial_Final!M23</f>
        <v>0</v>
      </c>
      <c r="E2" s="156">
        <f>Commercial_Final!N23</f>
        <v>0</v>
      </c>
      <c r="F2" s="156">
        <f>Commercial_Final!O23</f>
        <v>0</v>
      </c>
      <c r="G2" s="156">
        <f>Commercial_Final!P23</f>
        <v>0</v>
      </c>
      <c r="H2" s="156">
        <f>Commercial_Final!Q23</f>
        <v>0</v>
      </c>
      <c r="I2" s="156">
        <f>Commercial_Final!R23</f>
        <v>0</v>
      </c>
      <c r="J2" s="156">
        <f>Commercial_Final!S23</f>
        <v>0</v>
      </c>
      <c r="K2" s="156">
        <f>Commercial_Final!T23</f>
        <v>0</v>
      </c>
      <c r="L2" s="156">
        <f>Commercial_Final!U23</f>
        <v>0</v>
      </c>
      <c r="M2" s="156">
        <f>Commercial_Final!V23</f>
        <v>0</v>
      </c>
      <c r="N2" s="156">
        <f>Commercial_Final!W23</f>
        <v>0</v>
      </c>
      <c r="O2" s="156">
        <f>Commercial_Final!X23</f>
        <v>0</v>
      </c>
      <c r="P2" s="156">
        <f>Commercial_Final!Y23</f>
        <v>0</v>
      </c>
      <c r="Q2" s="156">
        <f>Commercial_Final!Z23</f>
        <v>0</v>
      </c>
      <c r="R2" s="156">
        <f>Commercial_Final!AA23</f>
        <v>0</v>
      </c>
      <c r="S2" s="156">
        <f>Commercial_Final!AB23</f>
        <v>0</v>
      </c>
      <c r="T2" s="156">
        <f>Commercial_Final!AC23</f>
        <v>0</v>
      </c>
      <c r="U2" s="156">
        <f>Commercial_Final!AD23</f>
        <v>0</v>
      </c>
      <c r="V2" s="156">
        <f>Commercial_Final!AE23</f>
        <v>0</v>
      </c>
      <c r="W2" s="156">
        <f>Commercial_Final!AF23</f>
        <v>0</v>
      </c>
      <c r="X2" s="156">
        <f>Commercial_Final!AG23</f>
        <v>0</v>
      </c>
      <c r="Y2" s="156">
        <f>Commercial_Final!AH23</f>
        <v>0</v>
      </c>
      <c r="Z2" s="156">
        <f>Commercial_Final!AI23</f>
        <v>0</v>
      </c>
      <c r="AA2" s="156">
        <f>Commercial_Final!AJ23</f>
        <v>0</v>
      </c>
      <c r="AB2" s="156">
        <f>Commercial_Final!AK23</f>
        <v>0</v>
      </c>
      <c r="AC2" s="156">
        <f>Commercial_Final!AL23</f>
        <v>0</v>
      </c>
      <c r="AD2" s="156">
        <f>Commercial_Final!AM23</f>
        <v>0</v>
      </c>
      <c r="AE2" s="156">
        <f>Commercial_Final!AN23</f>
        <v>0</v>
      </c>
      <c r="AF2" s="156">
        <f>Commercial_Final!AO23</f>
        <v>0</v>
      </c>
      <c r="AG2" s="156">
        <f>Commercial_Final!AP23</f>
        <v>0</v>
      </c>
      <c r="AH2" s="156">
        <f>Commercial_Final!AQ23</f>
        <v>0</v>
      </c>
      <c r="AI2" s="156">
        <f>Commercial_Final!AR23</f>
        <v>0</v>
      </c>
      <c r="AJ2" s="156">
        <f>Commercial_Final!AS23</f>
        <v>0</v>
      </c>
      <c r="AK2" s="156">
        <f>Commercial_Final!AT23</f>
        <v>0</v>
      </c>
      <c r="AL2" s="156">
        <f>Commercial_Final!AU23</f>
        <v>0</v>
      </c>
    </row>
    <row r="3" spans="1:40">
      <c r="A3" s="18" t="s">
        <v>976</v>
      </c>
      <c r="B3" s="156">
        <f>Commercial_Final!K24</f>
        <v>0</v>
      </c>
      <c r="C3" s="156">
        <f>Commercial_Final!L24</f>
        <v>0</v>
      </c>
      <c r="D3" s="156">
        <f>Commercial_Final!M24</f>
        <v>0</v>
      </c>
      <c r="E3" s="156">
        <f>Commercial_Final!N24</f>
        <v>0</v>
      </c>
      <c r="F3" s="156">
        <f>Commercial_Final!O24</f>
        <v>0</v>
      </c>
      <c r="G3" s="156">
        <f>Commercial_Final!P24</f>
        <v>0</v>
      </c>
      <c r="H3" s="156">
        <f>Commercial_Final!Q24</f>
        <v>0</v>
      </c>
      <c r="I3" s="156">
        <f>Commercial_Final!R24</f>
        <v>0</v>
      </c>
      <c r="J3" s="156">
        <f>Commercial_Final!S24</f>
        <v>0</v>
      </c>
      <c r="K3" s="156">
        <f>Commercial_Final!T24</f>
        <v>0</v>
      </c>
      <c r="L3" s="156">
        <f>Commercial_Final!U24</f>
        <v>0</v>
      </c>
      <c r="M3" s="156">
        <f>Commercial_Final!V24</f>
        <v>0</v>
      </c>
      <c r="N3" s="156">
        <f>Commercial_Final!W24</f>
        <v>0</v>
      </c>
      <c r="O3" s="156">
        <f>Commercial_Final!X24</f>
        <v>0</v>
      </c>
      <c r="P3" s="156">
        <f>Commercial_Final!Y24</f>
        <v>0</v>
      </c>
      <c r="Q3" s="156">
        <f>Commercial_Final!Z24</f>
        <v>0</v>
      </c>
      <c r="R3" s="156">
        <f>Commercial_Final!AA24</f>
        <v>0</v>
      </c>
      <c r="S3" s="156">
        <f>Commercial_Final!AB24</f>
        <v>0</v>
      </c>
      <c r="T3" s="156">
        <f>Commercial_Final!AC24</f>
        <v>0</v>
      </c>
      <c r="U3" s="156">
        <f>Commercial_Final!AD24</f>
        <v>0</v>
      </c>
      <c r="V3" s="156">
        <f>Commercial_Final!AE24</f>
        <v>0</v>
      </c>
      <c r="W3" s="156">
        <f>Commercial_Final!AF24</f>
        <v>0</v>
      </c>
      <c r="X3" s="156">
        <f>Commercial_Final!AG24</f>
        <v>0</v>
      </c>
      <c r="Y3" s="156">
        <f>Commercial_Final!AH24</f>
        <v>0</v>
      </c>
      <c r="Z3" s="156">
        <f>Commercial_Final!AI24</f>
        <v>0</v>
      </c>
      <c r="AA3" s="156">
        <f>Commercial_Final!AJ24</f>
        <v>0</v>
      </c>
      <c r="AB3" s="156">
        <f>Commercial_Final!AK24</f>
        <v>0</v>
      </c>
      <c r="AC3" s="156">
        <f>Commercial_Final!AL24</f>
        <v>0</v>
      </c>
      <c r="AD3" s="156">
        <f>Commercial_Final!AM24</f>
        <v>0</v>
      </c>
      <c r="AE3" s="156">
        <f>Commercial_Final!AN24</f>
        <v>0</v>
      </c>
      <c r="AF3" s="156">
        <f>Commercial_Final!AO24</f>
        <v>0</v>
      </c>
      <c r="AG3" s="156">
        <f>Commercial_Final!AP24</f>
        <v>0</v>
      </c>
      <c r="AH3" s="156">
        <f>Commercial_Final!AQ24</f>
        <v>0</v>
      </c>
      <c r="AI3" s="156">
        <f>Commercial_Final!AR24</f>
        <v>0</v>
      </c>
      <c r="AJ3" s="156">
        <f>Commercial_Final!AS24</f>
        <v>0</v>
      </c>
      <c r="AK3" s="156">
        <f>Commercial_Final!AT24</f>
        <v>0</v>
      </c>
      <c r="AL3" s="156">
        <f>Commercial_Final!AU24</f>
        <v>0</v>
      </c>
    </row>
    <row r="4" spans="1:40">
      <c r="A4" s="18" t="s">
        <v>977</v>
      </c>
      <c r="B4" s="156">
        <f>Commercial_Final!K25</f>
        <v>0</v>
      </c>
      <c r="C4" s="156">
        <f>Commercial_Final!L25</f>
        <v>0</v>
      </c>
      <c r="D4" s="156">
        <f>Commercial_Final!M25</f>
        <v>0</v>
      </c>
      <c r="E4" s="156">
        <f>Commercial_Final!N25</f>
        <v>0</v>
      </c>
      <c r="F4" s="156">
        <f>Commercial_Final!O25</f>
        <v>0</v>
      </c>
      <c r="G4" s="156">
        <f>Commercial_Final!P25</f>
        <v>0</v>
      </c>
      <c r="H4" s="156">
        <f>Commercial_Final!Q25</f>
        <v>0</v>
      </c>
      <c r="I4" s="156">
        <f>Commercial_Final!R25</f>
        <v>0</v>
      </c>
      <c r="J4" s="156">
        <f>Commercial_Final!S25</f>
        <v>0</v>
      </c>
      <c r="K4" s="156">
        <f>Commercial_Final!T25</f>
        <v>0</v>
      </c>
      <c r="L4" s="156">
        <f>Commercial_Final!U25</f>
        <v>0</v>
      </c>
      <c r="M4" s="156">
        <f>Commercial_Final!V25</f>
        <v>0</v>
      </c>
      <c r="N4" s="156">
        <f>Commercial_Final!W25</f>
        <v>0</v>
      </c>
      <c r="O4" s="156">
        <f>Commercial_Final!X25</f>
        <v>0</v>
      </c>
      <c r="P4" s="156">
        <f>Commercial_Final!Y25</f>
        <v>0</v>
      </c>
      <c r="Q4" s="156">
        <f>Commercial_Final!Z25</f>
        <v>0</v>
      </c>
      <c r="R4" s="156">
        <f>Commercial_Final!AA25</f>
        <v>0</v>
      </c>
      <c r="S4" s="156">
        <f>Commercial_Final!AB25</f>
        <v>0</v>
      </c>
      <c r="T4" s="156">
        <f>Commercial_Final!AC25</f>
        <v>0</v>
      </c>
      <c r="U4" s="156">
        <f>Commercial_Final!AD25</f>
        <v>0</v>
      </c>
      <c r="V4" s="156">
        <f>Commercial_Final!AE25</f>
        <v>0</v>
      </c>
      <c r="W4" s="156">
        <f>Commercial_Final!AF25</f>
        <v>0</v>
      </c>
      <c r="X4" s="156">
        <f>Commercial_Final!AG25</f>
        <v>0</v>
      </c>
      <c r="Y4" s="156">
        <f>Commercial_Final!AH25</f>
        <v>0</v>
      </c>
      <c r="Z4" s="156">
        <f>Commercial_Final!AI25</f>
        <v>0</v>
      </c>
      <c r="AA4" s="156">
        <f>Commercial_Final!AJ25</f>
        <v>0</v>
      </c>
      <c r="AB4" s="156">
        <f>Commercial_Final!AK25</f>
        <v>0</v>
      </c>
      <c r="AC4" s="156">
        <f>Commercial_Final!AL25</f>
        <v>0</v>
      </c>
      <c r="AD4" s="156">
        <f>Commercial_Final!AM25</f>
        <v>0</v>
      </c>
      <c r="AE4" s="156">
        <f>Commercial_Final!AN25</f>
        <v>0</v>
      </c>
      <c r="AF4" s="156">
        <f>Commercial_Final!AO25</f>
        <v>0</v>
      </c>
      <c r="AG4" s="156">
        <f>Commercial_Final!AP25</f>
        <v>0</v>
      </c>
      <c r="AH4" s="156">
        <f>Commercial_Final!AQ25</f>
        <v>0</v>
      </c>
      <c r="AI4" s="156">
        <f>Commercial_Final!AR25</f>
        <v>0</v>
      </c>
      <c r="AJ4" s="156">
        <f>Commercial_Final!AS25</f>
        <v>0</v>
      </c>
      <c r="AK4" s="156">
        <f>Commercial_Final!AT25</f>
        <v>0</v>
      </c>
      <c r="AL4" s="156">
        <f>Commercial_Final!AU25</f>
        <v>0</v>
      </c>
    </row>
    <row r="5" spans="1:40">
      <c r="A5" s="18" t="s">
        <v>978</v>
      </c>
      <c r="B5" s="156">
        <f>Commercial_Final!K26</f>
        <v>0</v>
      </c>
      <c r="C5" s="156">
        <f>Commercial_Final!L26</f>
        <v>0</v>
      </c>
      <c r="D5" s="156">
        <f>Commercial_Final!M26</f>
        <v>0</v>
      </c>
      <c r="E5" s="156">
        <f>Commercial_Final!N26</f>
        <v>0</v>
      </c>
      <c r="F5" s="156">
        <f>Commercial_Final!O26</f>
        <v>0</v>
      </c>
      <c r="G5" s="156">
        <f>Commercial_Final!P26</f>
        <v>0</v>
      </c>
      <c r="H5" s="156">
        <f>Commercial_Final!Q26</f>
        <v>0</v>
      </c>
      <c r="I5" s="156">
        <f>Commercial_Final!R26</f>
        <v>0</v>
      </c>
      <c r="J5" s="156">
        <f>Commercial_Final!S26</f>
        <v>0</v>
      </c>
      <c r="K5" s="156">
        <f>Commercial_Final!T26</f>
        <v>0</v>
      </c>
      <c r="L5" s="156">
        <f>Commercial_Final!U26</f>
        <v>0</v>
      </c>
      <c r="M5" s="156">
        <f>Commercial_Final!V26</f>
        <v>0</v>
      </c>
      <c r="N5" s="156">
        <f>Commercial_Final!W26</f>
        <v>0</v>
      </c>
      <c r="O5" s="156">
        <f>Commercial_Final!X26</f>
        <v>0</v>
      </c>
      <c r="P5" s="156">
        <f>Commercial_Final!Y26</f>
        <v>0</v>
      </c>
      <c r="Q5" s="156">
        <f>Commercial_Final!Z26</f>
        <v>0</v>
      </c>
      <c r="R5" s="156">
        <f>Commercial_Final!AA26</f>
        <v>0</v>
      </c>
      <c r="S5" s="156">
        <f>Commercial_Final!AB26</f>
        <v>0</v>
      </c>
      <c r="T5" s="156">
        <f>Commercial_Final!AC26</f>
        <v>0</v>
      </c>
      <c r="U5" s="156">
        <f>Commercial_Final!AD26</f>
        <v>0</v>
      </c>
      <c r="V5" s="156">
        <f>Commercial_Final!AE26</f>
        <v>0</v>
      </c>
      <c r="W5" s="156">
        <f>Commercial_Final!AF26</f>
        <v>0</v>
      </c>
      <c r="X5" s="156">
        <f>Commercial_Final!AG26</f>
        <v>0</v>
      </c>
      <c r="Y5" s="156">
        <f>Commercial_Final!AH26</f>
        <v>0</v>
      </c>
      <c r="Z5" s="156">
        <f>Commercial_Final!AI26</f>
        <v>0</v>
      </c>
      <c r="AA5" s="156">
        <f>Commercial_Final!AJ26</f>
        <v>0</v>
      </c>
      <c r="AB5" s="156">
        <f>Commercial_Final!AK26</f>
        <v>0</v>
      </c>
      <c r="AC5" s="156">
        <f>Commercial_Final!AL26</f>
        <v>0</v>
      </c>
      <c r="AD5" s="156">
        <f>Commercial_Final!AM26</f>
        <v>0</v>
      </c>
      <c r="AE5" s="156">
        <f>Commercial_Final!AN26</f>
        <v>0</v>
      </c>
      <c r="AF5" s="156">
        <f>Commercial_Final!AO26</f>
        <v>0</v>
      </c>
      <c r="AG5" s="156">
        <f>Commercial_Final!AP26</f>
        <v>0</v>
      </c>
      <c r="AH5" s="156">
        <f>Commercial_Final!AQ26</f>
        <v>0</v>
      </c>
      <c r="AI5" s="156">
        <f>Commercial_Final!AR26</f>
        <v>0</v>
      </c>
      <c r="AJ5" s="156">
        <f>Commercial_Final!AS26</f>
        <v>0</v>
      </c>
      <c r="AK5" s="156">
        <f>Commercial_Final!AT26</f>
        <v>0</v>
      </c>
      <c r="AL5" s="156">
        <f>Commercial_Final!AU26</f>
        <v>0</v>
      </c>
    </row>
    <row r="6" spans="1:40">
      <c r="A6" s="18" t="s">
        <v>979</v>
      </c>
      <c r="B6" s="156">
        <f>Commercial_Final!K27</f>
        <v>0</v>
      </c>
      <c r="C6" s="156">
        <f>Commercial_Final!L27</f>
        <v>0</v>
      </c>
      <c r="D6" s="156">
        <f>Commercial_Final!M27</f>
        <v>0</v>
      </c>
      <c r="E6" s="156">
        <f>Commercial_Final!N27</f>
        <v>0</v>
      </c>
      <c r="F6" s="156">
        <f>Commercial_Final!O27</f>
        <v>0</v>
      </c>
      <c r="G6" s="156">
        <f>Commercial_Final!P27</f>
        <v>0</v>
      </c>
      <c r="H6" s="156">
        <f>Commercial_Final!Q27</f>
        <v>0</v>
      </c>
      <c r="I6" s="156">
        <f>Commercial_Final!R27</f>
        <v>0</v>
      </c>
      <c r="J6" s="156">
        <f>Commercial_Final!S27</f>
        <v>0</v>
      </c>
      <c r="K6" s="156">
        <f>Commercial_Final!T27</f>
        <v>0</v>
      </c>
      <c r="L6" s="156">
        <f>Commercial_Final!U27</f>
        <v>0</v>
      </c>
      <c r="M6" s="156">
        <f>Commercial_Final!V27</f>
        <v>0</v>
      </c>
      <c r="N6" s="156">
        <f>Commercial_Final!W27</f>
        <v>0</v>
      </c>
      <c r="O6" s="156">
        <f>Commercial_Final!X27</f>
        <v>0</v>
      </c>
      <c r="P6" s="156">
        <f>Commercial_Final!Y27</f>
        <v>0</v>
      </c>
      <c r="Q6" s="156">
        <f>Commercial_Final!Z27</f>
        <v>0</v>
      </c>
      <c r="R6" s="156">
        <f>Commercial_Final!AA27</f>
        <v>0</v>
      </c>
      <c r="S6" s="156">
        <f>Commercial_Final!AB27</f>
        <v>0</v>
      </c>
      <c r="T6" s="156">
        <f>Commercial_Final!AC27</f>
        <v>0</v>
      </c>
      <c r="U6" s="156">
        <f>Commercial_Final!AD27</f>
        <v>0</v>
      </c>
      <c r="V6" s="156">
        <f>Commercial_Final!AE27</f>
        <v>0</v>
      </c>
      <c r="W6" s="156">
        <f>Commercial_Final!AF27</f>
        <v>0</v>
      </c>
      <c r="X6" s="156">
        <f>Commercial_Final!AG27</f>
        <v>0</v>
      </c>
      <c r="Y6" s="156">
        <f>Commercial_Final!AH27</f>
        <v>0</v>
      </c>
      <c r="Z6" s="156">
        <f>Commercial_Final!AI27</f>
        <v>0</v>
      </c>
      <c r="AA6" s="156">
        <f>Commercial_Final!AJ27</f>
        <v>0</v>
      </c>
      <c r="AB6" s="156">
        <f>Commercial_Final!AK27</f>
        <v>0</v>
      </c>
      <c r="AC6" s="156">
        <f>Commercial_Final!AL27</f>
        <v>0</v>
      </c>
      <c r="AD6" s="156">
        <f>Commercial_Final!AM27</f>
        <v>0</v>
      </c>
      <c r="AE6" s="156">
        <f>Commercial_Final!AN27</f>
        <v>0</v>
      </c>
      <c r="AF6" s="156">
        <f>Commercial_Final!AO27</f>
        <v>0</v>
      </c>
      <c r="AG6" s="156">
        <f>Commercial_Final!AP27</f>
        <v>0</v>
      </c>
      <c r="AH6" s="156">
        <f>Commercial_Final!AQ27</f>
        <v>0</v>
      </c>
      <c r="AI6" s="156">
        <f>Commercial_Final!AR27</f>
        <v>0</v>
      </c>
      <c r="AJ6" s="156">
        <f>Commercial_Final!AS27</f>
        <v>0</v>
      </c>
      <c r="AK6" s="156">
        <f>Commercial_Final!AT27</f>
        <v>0</v>
      </c>
      <c r="AL6" s="156">
        <f>Commercial_Final!AU27</f>
        <v>0</v>
      </c>
    </row>
    <row r="7" spans="1:40">
      <c r="A7" s="18" t="s">
        <v>980</v>
      </c>
      <c r="B7" s="156">
        <f>Commercial_Final!K28</f>
        <v>0</v>
      </c>
      <c r="C7" s="156">
        <f>Commercial_Final!L28</f>
        <v>0</v>
      </c>
      <c r="D7" s="156">
        <f>Commercial_Final!M28</f>
        <v>0</v>
      </c>
      <c r="E7" s="156">
        <f>Commercial_Final!N28</f>
        <v>0</v>
      </c>
      <c r="F7" s="156">
        <f>Commercial_Final!O28</f>
        <v>0</v>
      </c>
      <c r="G7" s="156">
        <f>Commercial_Final!P28</f>
        <v>0</v>
      </c>
      <c r="H7" s="156">
        <f>Commercial_Final!Q28</f>
        <v>0</v>
      </c>
      <c r="I7" s="156">
        <f>Commercial_Final!R28</f>
        <v>0</v>
      </c>
      <c r="J7" s="156">
        <f>Commercial_Final!S28</f>
        <v>0</v>
      </c>
      <c r="K7" s="156">
        <f>Commercial_Final!T28</f>
        <v>0</v>
      </c>
      <c r="L7" s="156">
        <f>Commercial_Final!U28</f>
        <v>0</v>
      </c>
      <c r="M7" s="156">
        <f>Commercial_Final!V28</f>
        <v>0</v>
      </c>
      <c r="N7" s="156">
        <f>Commercial_Final!W28</f>
        <v>0</v>
      </c>
      <c r="O7" s="156">
        <f>Commercial_Final!X28</f>
        <v>0</v>
      </c>
      <c r="P7" s="156">
        <f>Commercial_Final!Y28</f>
        <v>0</v>
      </c>
      <c r="Q7" s="156">
        <f>Commercial_Final!Z28</f>
        <v>0</v>
      </c>
      <c r="R7" s="156">
        <f>Commercial_Final!AA28</f>
        <v>0</v>
      </c>
      <c r="S7" s="156">
        <f>Commercial_Final!AB28</f>
        <v>0</v>
      </c>
      <c r="T7" s="156">
        <f>Commercial_Final!AC28</f>
        <v>0</v>
      </c>
      <c r="U7" s="156">
        <f>Commercial_Final!AD28</f>
        <v>0</v>
      </c>
      <c r="V7" s="156">
        <f>Commercial_Final!AE28</f>
        <v>0</v>
      </c>
      <c r="W7" s="156">
        <f>Commercial_Final!AF28</f>
        <v>0</v>
      </c>
      <c r="X7" s="156">
        <f>Commercial_Final!AG28</f>
        <v>0</v>
      </c>
      <c r="Y7" s="156">
        <f>Commercial_Final!AH28</f>
        <v>0</v>
      </c>
      <c r="Z7" s="156">
        <f>Commercial_Final!AI28</f>
        <v>0</v>
      </c>
      <c r="AA7" s="156">
        <f>Commercial_Final!AJ28</f>
        <v>0</v>
      </c>
      <c r="AB7" s="156">
        <f>Commercial_Final!AK28</f>
        <v>0</v>
      </c>
      <c r="AC7" s="156">
        <f>Commercial_Final!AL28</f>
        <v>0</v>
      </c>
      <c r="AD7" s="156">
        <f>Commercial_Final!AM28</f>
        <v>0</v>
      </c>
      <c r="AE7" s="156">
        <f>Commercial_Final!AN28</f>
        <v>0</v>
      </c>
      <c r="AF7" s="156">
        <f>Commercial_Final!AO28</f>
        <v>0</v>
      </c>
      <c r="AG7" s="156">
        <f>Commercial_Final!AP28</f>
        <v>0</v>
      </c>
      <c r="AH7" s="156">
        <f>Commercial_Final!AQ28</f>
        <v>0</v>
      </c>
      <c r="AI7" s="156">
        <f>Commercial_Final!AR28</f>
        <v>0</v>
      </c>
      <c r="AJ7" s="156">
        <f>Commercial_Final!AS28</f>
        <v>0</v>
      </c>
      <c r="AK7" s="156">
        <f>Commercial_Final!AT28</f>
        <v>0</v>
      </c>
      <c r="AL7" s="156">
        <f>Commercial_Final!AU28</f>
        <v>0</v>
      </c>
    </row>
    <row r="8" spans="1:40">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defaultColWidth="8.7265625" defaultRowHeight="14.5"/>
  <cols>
    <col min="1" max="1" width="23.7265625" customWidth="1"/>
    <col min="2" max="2" width="10.726562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975</v>
      </c>
      <c r="B2" s="156">
        <f>Commercial_Final!K14</f>
        <v>30401642278000</v>
      </c>
      <c r="C2" s="156">
        <f>Commercial_Final!L14</f>
        <v>28763483713999.996</v>
      </c>
      <c r="D2" s="156">
        <f>Commercial_Final!M14</f>
        <v>28816257217999.996</v>
      </c>
      <c r="E2" s="156">
        <f>Commercial_Final!N14</f>
        <v>29761583459999.996</v>
      </c>
      <c r="F2" s="156">
        <f>Commercial_Final!O14</f>
        <v>31230209038000</v>
      </c>
      <c r="G2" s="156">
        <f>Commercial_Final!P14</f>
        <v>25587756600000</v>
      </c>
      <c r="H2" s="156">
        <f>Commercial_Final!Q14</f>
        <v>27113487128000</v>
      </c>
      <c r="I2" s="156">
        <f>Commercial_Final!R14</f>
        <v>28459780160000.004</v>
      </c>
      <c r="J2" s="156">
        <f>Commercial_Final!S14</f>
        <v>29218960668264.031</v>
      </c>
      <c r="K2" s="156">
        <f>Commercial_Final!T14</f>
        <v>29515629000342.828</v>
      </c>
      <c r="L2" s="156">
        <f>Commercial_Final!U14</f>
        <v>29813420731079.559</v>
      </c>
      <c r="M2" s="156">
        <f>Commercial_Final!V14</f>
        <v>29975572946791.215</v>
      </c>
      <c r="N2" s="156">
        <f>Commercial_Final!W14</f>
        <v>30198506856144.238</v>
      </c>
      <c r="O2" s="156">
        <f>Commercial_Final!X14</f>
        <v>30421440765497.254</v>
      </c>
      <c r="P2" s="156">
        <f>Commercial_Final!Y14</f>
        <v>30644374674850.281</v>
      </c>
      <c r="Q2" s="156">
        <f>Commercial_Final!Z14</f>
        <v>30867308584203.305</v>
      </c>
      <c r="R2" s="156">
        <f>Commercial_Final!AA14</f>
        <v>31090242493556.324</v>
      </c>
      <c r="S2" s="156">
        <f>Commercial_Final!AB14</f>
        <v>31313176402909.348</v>
      </c>
      <c r="T2" s="156">
        <f>Commercial_Final!AC14</f>
        <v>31536110312262.379</v>
      </c>
      <c r="U2" s="156">
        <f>Commercial_Final!AD14</f>
        <v>31759044221615.402</v>
      </c>
      <c r="V2" s="156">
        <f>Commercial_Final!AE14</f>
        <v>31981978130968.414</v>
      </c>
      <c r="W2" s="156">
        <f>Commercial_Final!AF14</f>
        <v>32204912040321.438</v>
      </c>
      <c r="X2" s="156">
        <f>Commercial_Final!AG14</f>
        <v>32427845949674.398</v>
      </c>
      <c r="Y2" s="156">
        <f>Commercial_Final!AH14</f>
        <v>32650779859027.43</v>
      </c>
      <c r="Z2" s="156">
        <f>Commercial_Final!AI14</f>
        <v>32873713768380.438</v>
      </c>
      <c r="AA2" s="156">
        <f>Commercial_Final!AJ14</f>
        <v>33096647677733.461</v>
      </c>
      <c r="AB2" s="156">
        <f>Commercial_Final!AK14</f>
        <v>33319581587086.484</v>
      </c>
      <c r="AC2" s="156">
        <f>Commercial_Final!AL14</f>
        <v>33542515496439.508</v>
      </c>
      <c r="AD2" s="156">
        <f>Commercial_Final!AM14</f>
        <v>33765449405792.531</v>
      </c>
      <c r="AE2" s="156">
        <f>Commercial_Final!AN14</f>
        <v>33988383315145.555</v>
      </c>
      <c r="AF2" s="156">
        <f>Commercial_Final!AO14</f>
        <v>34211317224498.57</v>
      </c>
      <c r="AG2" s="156">
        <f>Commercial_Final!AP14</f>
        <v>34434251133851.602</v>
      </c>
      <c r="AH2" s="156">
        <f>Commercial_Final!AQ14</f>
        <v>34657185043204.625</v>
      </c>
      <c r="AI2" s="156">
        <f>Commercial_Final!AR14</f>
        <v>34880118952557.641</v>
      </c>
      <c r="AJ2" s="156">
        <f>Commercial_Final!AS14</f>
        <v>35103052861910.672</v>
      </c>
      <c r="AK2" s="156">
        <f>Commercial_Final!AT14</f>
        <v>35325986771263.695</v>
      </c>
      <c r="AL2" s="156">
        <f>Commercial_Final!AU14</f>
        <v>35548920680616.711</v>
      </c>
    </row>
    <row r="3" spans="1:40">
      <c r="A3" s="18" t="s">
        <v>976</v>
      </c>
      <c r="B3" s="156">
        <f>Commercial_Final!K15</f>
        <v>0</v>
      </c>
      <c r="C3" s="156">
        <f>Commercial_Final!L15</f>
        <v>0</v>
      </c>
      <c r="D3" s="156">
        <f>Commercial_Final!M15</f>
        <v>0</v>
      </c>
      <c r="E3" s="156">
        <f>Commercial_Final!N15</f>
        <v>0</v>
      </c>
      <c r="F3" s="156">
        <f>Commercial_Final!O15</f>
        <v>0</v>
      </c>
      <c r="G3" s="156">
        <f>Commercial_Final!P15</f>
        <v>0</v>
      </c>
      <c r="H3" s="156">
        <f>Commercial_Final!Q15</f>
        <v>0</v>
      </c>
      <c r="I3" s="156">
        <f>Commercial_Final!R15</f>
        <v>0</v>
      </c>
      <c r="J3" s="156">
        <f>Commercial_Final!S15</f>
        <v>0</v>
      </c>
      <c r="K3" s="156">
        <f>Commercial_Final!T15</f>
        <v>0</v>
      </c>
      <c r="L3" s="156">
        <f>Commercial_Final!U15</f>
        <v>0</v>
      </c>
      <c r="M3" s="156">
        <f>Commercial_Final!V15</f>
        <v>0</v>
      </c>
      <c r="N3" s="156">
        <f>Commercial_Final!W15</f>
        <v>0</v>
      </c>
      <c r="O3" s="156">
        <f>Commercial_Final!X15</f>
        <v>0</v>
      </c>
      <c r="P3" s="156">
        <f>Commercial_Final!Y15</f>
        <v>0</v>
      </c>
      <c r="Q3" s="156">
        <f>Commercial_Final!Z15</f>
        <v>0</v>
      </c>
      <c r="R3" s="156">
        <f>Commercial_Final!AA15</f>
        <v>0</v>
      </c>
      <c r="S3" s="156">
        <f>Commercial_Final!AB15</f>
        <v>0</v>
      </c>
      <c r="T3" s="156">
        <f>Commercial_Final!AC15</f>
        <v>0</v>
      </c>
      <c r="U3" s="156">
        <f>Commercial_Final!AD15</f>
        <v>0</v>
      </c>
      <c r="V3" s="156">
        <f>Commercial_Final!AE15</f>
        <v>0</v>
      </c>
      <c r="W3" s="156">
        <f>Commercial_Final!AF15</f>
        <v>0</v>
      </c>
      <c r="X3" s="156">
        <f>Commercial_Final!AG15</f>
        <v>0</v>
      </c>
      <c r="Y3" s="156">
        <f>Commercial_Final!AH15</f>
        <v>0</v>
      </c>
      <c r="Z3" s="156">
        <f>Commercial_Final!AI15</f>
        <v>0</v>
      </c>
      <c r="AA3" s="156">
        <f>Commercial_Final!AJ15</f>
        <v>0</v>
      </c>
      <c r="AB3" s="156">
        <f>Commercial_Final!AK15</f>
        <v>0</v>
      </c>
      <c r="AC3" s="156">
        <f>Commercial_Final!AL15</f>
        <v>0</v>
      </c>
      <c r="AD3" s="156">
        <f>Commercial_Final!AM15</f>
        <v>0</v>
      </c>
      <c r="AE3" s="156">
        <f>Commercial_Final!AN15</f>
        <v>0</v>
      </c>
      <c r="AF3" s="156">
        <f>Commercial_Final!AO15</f>
        <v>0</v>
      </c>
      <c r="AG3" s="156">
        <f>Commercial_Final!AP15</f>
        <v>0</v>
      </c>
      <c r="AH3" s="156">
        <f>Commercial_Final!AQ15</f>
        <v>0</v>
      </c>
      <c r="AI3" s="156">
        <f>Commercial_Final!AR15</f>
        <v>0</v>
      </c>
      <c r="AJ3" s="156">
        <f>Commercial_Final!AS15</f>
        <v>0</v>
      </c>
      <c r="AK3" s="156">
        <f>Commercial_Final!AT15</f>
        <v>0</v>
      </c>
      <c r="AL3" s="156">
        <f>Commercial_Final!AU15</f>
        <v>0</v>
      </c>
    </row>
    <row r="4" spans="1:40">
      <c r="A4" s="18" t="s">
        <v>977</v>
      </c>
      <c r="B4" s="156">
        <f>Commercial_Final!K16</f>
        <v>0</v>
      </c>
      <c r="C4" s="156">
        <f>Commercial_Final!L16</f>
        <v>0</v>
      </c>
      <c r="D4" s="156">
        <f>Commercial_Final!M16</f>
        <v>0</v>
      </c>
      <c r="E4" s="156">
        <f>Commercial_Final!N16</f>
        <v>0</v>
      </c>
      <c r="F4" s="156">
        <f>Commercial_Final!O16</f>
        <v>0</v>
      </c>
      <c r="G4" s="156">
        <f>Commercial_Final!P16</f>
        <v>0</v>
      </c>
      <c r="H4" s="156">
        <f>Commercial_Final!Q16</f>
        <v>0</v>
      </c>
      <c r="I4" s="156">
        <f>Commercial_Final!R16</f>
        <v>0</v>
      </c>
      <c r="J4" s="156">
        <f>Commercial_Final!S16</f>
        <v>0</v>
      </c>
      <c r="K4" s="156">
        <f>Commercial_Final!T16</f>
        <v>0</v>
      </c>
      <c r="L4" s="156">
        <f>Commercial_Final!U16</f>
        <v>0</v>
      </c>
      <c r="M4" s="156">
        <f>Commercial_Final!V16</f>
        <v>0</v>
      </c>
      <c r="N4" s="156">
        <f>Commercial_Final!W16</f>
        <v>0</v>
      </c>
      <c r="O4" s="156">
        <f>Commercial_Final!X16</f>
        <v>0</v>
      </c>
      <c r="P4" s="156">
        <f>Commercial_Final!Y16</f>
        <v>0</v>
      </c>
      <c r="Q4" s="156">
        <f>Commercial_Final!Z16</f>
        <v>0</v>
      </c>
      <c r="R4" s="156">
        <f>Commercial_Final!AA16</f>
        <v>0</v>
      </c>
      <c r="S4" s="156">
        <f>Commercial_Final!AB16</f>
        <v>0</v>
      </c>
      <c r="T4" s="156">
        <f>Commercial_Final!AC16</f>
        <v>0</v>
      </c>
      <c r="U4" s="156">
        <f>Commercial_Final!AD16</f>
        <v>0</v>
      </c>
      <c r="V4" s="156">
        <f>Commercial_Final!AE16</f>
        <v>0</v>
      </c>
      <c r="W4" s="156">
        <f>Commercial_Final!AF16</f>
        <v>0</v>
      </c>
      <c r="X4" s="156">
        <f>Commercial_Final!AG16</f>
        <v>0</v>
      </c>
      <c r="Y4" s="156">
        <f>Commercial_Final!AH16</f>
        <v>0</v>
      </c>
      <c r="Z4" s="156">
        <f>Commercial_Final!AI16</f>
        <v>0</v>
      </c>
      <c r="AA4" s="156">
        <f>Commercial_Final!AJ16</f>
        <v>0</v>
      </c>
      <c r="AB4" s="156">
        <f>Commercial_Final!AK16</f>
        <v>0</v>
      </c>
      <c r="AC4" s="156">
        <f>Commercial_Final!AL16</f>
        <v>0</v>
      </c>
      <c r="AD4" s="156">
        <f>Commercial_Final!AM16</f>
        <v>0</v>
      </c>
      <c r="AE4" s="156">
        <f>Commercial_Final!AN16</f>
        <v>0</v>
      </c>
      <c r="AF4" s="156">
        <f>Commercial_Final!AO16</f>
        <v>0</v>
      </c>
      <c r="AG4" s="156">
        <f>Commercial_Final!AP16</f>
        <v>0</v>
      </c>
      <c r="AH4" s="156">
        <f>Commercial_Final!AQ16</f>
        <v>0</v>
      </c>
      <c r="AI4" s="156">
        <f>Commercial_Final!AR16</f>
        <v>0</v>
      </c>
      <c r="AJ4" s="156">
        <f>Commercial_Final!AS16</f>
        <v>0</v>
      </c>
      <c r="AK4" s="156">
        <f>Commercial_Final!AT16</f>
        <v>0</v>
      </c>
      <c r="AL4" s="156">
        <f>Commercial_Final!AU16</f>
        <v>0</v>
      </c>
    </row>
    <row r="5" spans="1:40">
      <c r="A5" s="18" t="s">
        <v>978</v>
      </c>
      <c r="B5" s="156">
        <f>Commercial_Final!K17</f>
        <v>0</v>
      </c>
      <c r="C5" s="156">
        <f>Commercial_Final!L17</f>
        <v>0</v>
      </c>
      <c r="D5" s="156">
        <f>Commercial_Final!M17</f>
        <v>0</v>
      </c>
      <c r="E5" s="156">
        <f>Commercial_Final!N17</f>
        <v>0</v>
      </c>
      <c r="F5" s="156">
        <f>Commercial_Final!O17</f>
        <v>0</v>
      </c>
      <c r="G5" s="156">
        <f>Commercial_Final!P17</f>
        <v>0</v>
      </c>
      <c r="H5" s="156">
        <f>Commercial_Final!Q17</f>
        <v>0</v>
      </c>
      <c r="I5" s="156">
        <f>Commercial_Final!R17</f>
        <v>0</v>
      </c>
      <c r="J5" s="156">
        <f>Commercial_Final!S17</f>
        <v>0</v>
      </c>
      <c r="K5" s="156">
        <f>Commercial_Final!T17</f>
        <v>0</v>
      </c>
      <c r="L5" s="156">
        <f>Commercial_Final!U17</f>
        <v>0</v>
      </c>
      <c r="M5" s="156">
        <f>Commercial_Final!V17</f>
        <v>0</v>
      </c>
      <c r="N5" s="156">
        <f>Commercial_Final!W17</f>
        <v>0</v>
      </c>
      <c r="O5" s="156">
        <f>Commercial_Final!X17</f>
        <v>0</v>
      </c>
      <c r="P5" s="156">
        <f>Commercial_Final!Y17</f>
        <v>0</v>
      </c>
      <c r="Q5" s="156">
        <f>Commercial_Final!Z17</f>
        <v>0</v>
      </c>
      <c r="R5" s="156">
        <f>Commercial_Final!AA17</f>
        <v>0</v>
      </c>
      <c r="S5" s="156">
        <f>Commercial_Final!AB17</f>
        <v>0</v>
      </c>
      <c r="T5" s="156">
        <f>Commercial_Final!AC17</f>
        <v>0</v>
      </c>
      <c r="U5" s="156">
        <f>Commercial_Final!AD17</f>
        <v>0</v>
      </c>
      <c r="V5" s="156">
        <f>Commercial_Final!AE17</f>
        <v>0</v>
      </c>
      <c r="W5" s="156">
        <f>Commercial_Final!AF17</f>
        <v>0</v>
      </c>
      <c r="X5" s="156">
        <f>Commercial_Final!AG17</f>
        <v>0</v>
      </c>
      <c r="Y5" s="156">
        <f>Commercial_Final!AH17</f>
        <v>0</v>
      </c>
      <c r="Z5" s="156">
        <f>Commercial_Final!AI17</f>
        <v>0</v>
      </c>
      <c r="AA5" s="156">
        <f>Commercial_Final!AJ17</f>
        <v>0</v>
      </c>
      <c r="AB5" s="156">
        <f>Commercial_Final!AK17</f>
        <v>0</v>
      </c>
      <c r="AC5" s="156">
        <f>Commercial_Final!AL17</f>
        <v>0</v>
      </c>
      <c r="AD5" s="156">
        <f>Commercial_Final!AM17</f>
        <v>0</v>
      </c>
      <c r="AE5" s="156">
        <f>Commercial_Final!AN17</f>
        <v>0</v>
      </c>
      <c r="AF5" s="156">
        <f>Commercial_Final!AO17</f>
        <v>0</v>
      </c>
      <c r="AG5" s="156">
        <f>Commercial_Final!AP17</f>
        <v>0</v>
      </c>
      <c r="AH5" s="156">
        <f>Commercial_Final!AQ17</f>
        <v>0</v>
      </c>
      <c r="AI5" s="156">
        <f>Commercial_Final!AR17</f>
        <v>0</v>
      </c>
      <c r="AJ5" s="156">
        <f>Commercial_Final!AS17</f>
        <v>0</v>
      </c>
      <c r="AK5" s="156">
        <f>Commercial_Final!AT17</f>
        <v>0</v>
      </c>
      <c r="AL5" s="156">
        <f>Commercial_Final!AU17</f>
        <v>0</v>
      </c>
    </row>
    <row r="6" spans="1:40">
      <c r="A6" s="18" t="s">
        <v>979</v>
      </c>
      <c r="B6" s="156">
        <f>Commercial_Final!K18</f>
        <v>0</v>
      </c>
      <c r="C6" s="156">
        <f>Commercial_Final!L18</f>
        <v>0</v>
      </c>
      <c r="D6" s="156">
        <f>Commercial_Final!M18</f>
        <v>0</v>
      </c>
      <c r="E6" s="156">
        <f>Commercial_Final!N18</f>
        <v>0</v>
      </c>
      <c r="F6" s="156">
        <f>Commercial_Final!O18</f>
        <v>0</v>
      </c>
      <c r="G6" s="156">
        <f>Commercial_Final!P18</f>
        <v>0</v>
      </c>
      <c r="H6" s="156">
        <f>Commercial_Final!Q18</f>
        <v>0</v>
      </c>
      <c r="I6" s="156">
        <f>Commercial_Final!R18</f>
        <v>0</v>
      </c>
      <c r="J6" s="156">
        <f>Commercial_Final!S18</f>
        <v>0</v>
      </c>
      <c r="K6" s="156">
        <f>Commercial_Final!T18</f>
        <v>0</v>
      </c>
      <c r="L6" s="156">
        <f>Commercial_Final!U18</f>
        <v>0</v>
      </c>
      <c r="M6" s="156">
        <f>Commercial_Final!V18</f>
        <v>0</v>
      </c>
      <c r="N6" s="156">
        <f>Commercial_Final!W18</f>
        <v>0</v>
      </c>
      <c r="O6" s="156">
        <f>Commercial_Final!X18</f>
        <v>0</v>
      </c>
      <c r="P6" s="156">
        <f>Commercial_Final!Y18</f>
        <v>0</v>
      </c>
      <c r="Q6" s="156">
        <f>Commercial_Final!Z18</f>
        <v>0</v>
      </c>
      <c r="R6" s="156">
        <f>Commercial_Final!AA18</f>
        <v>0</v>
      </c>
      <c r="S6" s="156">
        <f>Commercial_Final!AB18</f>
        <v>0</v>
      </c>
      <c r="T6" s="156">
        <f>Commercial_Final!AC18</f>
        <v>0</v>
      </c>
      <c r="U6" s="156">
        <f>Commercial_Final!AD18</f>
        <v>0</v>
      </c>
      <c r="V6" s="156">
        <f>Commercial_Final!AE18</f>
        <v>0</v>
      </c>
      <c r="W6" s="156">
        <f>Commercial_Final!AF18</f>
        <v>0</v>
      </c>
      <c r="X6" s="156">
        <f>Commercial_Final!AG18</f>
        <v>0</v>
      </c>
      <c r="Y6" s="156">
        <f>Commercial_Final!AH18</f>
        <v>0</v>
      </c>
      <c r="Z6" s="156">
        <f>Commercial_Final!AI18</f>
        <v>0</v>
      </c>
      <c r="AA6" s="156">
        <f>Commercial_Final!AJ18</f>
        <v>0</v>
      </c>
      <c r="AB6" s="156">
        <f>Commercial_Final!AK18</f>
        <v>0</v>
      </c>
      <c r="AC6" s="156">
        <f>Commercial_Final!AL18</f>
        <v>0</v>
      </c>
      <c r="AD6" s="156">
        <f>Commercial_Final!AM18</f>
        <v>0</v>
      </c>
      <c r="AE6" s="156">
        <f>Commercial_Final!AN18</f>
        <v>0</v>
      </c>
      <c r="AF6" s="156">
        <f>Commercial_Final!AO18</f>
        <v>0</v>
      </c>
      <c r="AG6" s="156">
        <f>Commercial_Final!AP18</f>
        <v>0</v>
      </c>
      <c r="AH6" s="156">
        <f>Commercial_Final!AQ18</f>
        <v>0</v>
      </c>
      <c r="AI6" s="156">
        <f>Commercial_Final!AR18</f>
        <v>0</v>
      </c>
      <c r="AJ6" s="156">
        <f>Commercial_Final!AS18</f>
        <v>0</v>
      </c>
      <c r="AK6" s="156">
        <f>Commercial_Final!AT18</f>
        <v>0</v>
      </c>
      <c r="AL6" s="156">
        <f>Commercial_Final!AU18</f>
        <v>0</v>
      </c>
    </row>
    <row r="7" spans="1:40">
      <c r="A7" s="18" t="s">
        <v>980</v>
      </c>
      <c r="B7" s="156">
        <f>Commercial_Final!K19</f>
        <v>0</v>
      </c>
      <c r="C7" s="156">
        <f>Commercial_Final!L19</f>
        <v>0</v>
      </c>
      <c r="D7" s="156">
        <f>Commercial_Final!M19</f>
        <v>0</v>
      </c>
      <c r="E7" s="156">
        <f>Commercial_Final!N19</f>
        <v>0</v>
      </c>
      <c r="F7" s="156">
        <f>Commercial_Final!O19</f>
        <v>0</v>
      </c>
      <c r="G7" s="156">
        <f>Commercial_Final!P19</f>
        <v>0</v>
      </c>
      <c r="H7" s="156">
        <f>Commercial_Final!Q19</f>
        <v>0</v>
      </c>
      <c r="I7" s="156">
        <f>Commercial_Final!R19</f>
        <v>0</v>
      </c>
      <c r="J7" s="156">
        <f>Commercial_Final!S19</f>
        <v>0</v>
      </c>
      <c r="K7" s="156">
        <f>Commercial_Final!T19</f>
        <v>0</v>
      </c>
      <c r="L7" s="156">
        <f>Commercial_Final!U19</f>
        <v>0</v>
      </c>
      <c r="M7" s="156">
        <f>Commercial_Final!V19</f>
        <v>0</v>
      </c>
      <c r="N7" s="156">
        <f>Commercial_Final!W19</f>
        <v>0</v>
      </c>
      <c r="O7" s="156">
        <f>Commercial_Final!X19</f>
        <v>0</v>
      </c>
      <c r="P7" s="156">
        <f>Commercial_Final!Y19</f>
        <v>0</v>
      </c>
      <c r="Q7" s="156">
        <f>Commercial_Final!Z19</f>
        <v>0</v>
      </c>
      <c r="R7" s="156">
        <f>Commercial_Final!AA19</f>
        <v>0</v>
      </c>
      <c r="S7" s="156">
        <f>Commercial_Final!AB19</f>
        <v>0</v>
      </c>
      <c r="T7" s="156">
        <f>Commercial_Final!AC19</f>
        <v>0</v>
      </c>
      <c r="U7" s="156">
        <f>Commercial_Final!AD19</f>
        <v>0</v>
      </c>
      <c r="V7" s="156">
        <f>Commercial_Final!AE19</f>
        <v>0</v>
      </c>
      <c r="W7" s="156">
        <f>Commercial_Final!AF19</f>
        <v>0</v>
      </c>
      <c r="X7" s="156">
        <f>Commercial_Final!AG19</f>
        <v>0</v>
      </c>
      <c r="Y7" s="156">
        <f>Commercial_Final!AH19</f>
        <v>0</v>
      </c>
      <c r="Z7" s="156">
        <f>Commercial_Final!AI19</f>
        <v>0</v>
      </c>
      <c r="AA7" s="156">
        <f>Commercial_Final!AJ19</f>
        <v>0</v>
      </c>
      <c r="AB7" s="156">
        <f>Commercial_Final!AK19</f>
        <v>0</v>
      </c>
      <c r="AC7" s="156">
        <f>Commercial_Final!AL19</f>
        <v>0</v>
      </c>
      <c r="AD7" s="156">
        <f>Commercial_Final!AM19</f>
        <v>0</v>
      </c>
      <c r="AE7" s="156">
        <f>Commercial_Final!AN19</f>
        <v>0</v>
      </c>
      <c r="AF7" s="156">
        <f>Commercial_Final!AO19</f>
        <v>0</v>
      </c>
      <c r="AG7" s="156">
        <f>Commercial_Final!AP19</f>
        <v>0</v>
      </c>
      <c r="AH7" s="156">
        <f>Commercial_Final!AQ19</f>
        <v>0</v>
      </c>
      <c r="AI7" s="156">
        <f>Commercial_Final!AR19</f>
        <v>0</v>
      </c>
      <c r="AJ7" s="156">
        <f>Commercial_Final!AS19</f>
        <v>0</v>
      </c>
      <c r="AK7" s="156">
        <f>Commercial_Final!AT19</f>
        <v>0</v>
      </c>
      <c r="AL7" s="156">
        <f>Commercial_Final!AU19</f>
        <v>0</v>
      </c>
    </row>
    <row r="8" spans="1:40">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defaultColWidth="8.7265625" defaultRowHeight="14.5"/>
  <cols>
    <col min="1" max="1" width="23.7265625" customWidth="1"/>
    <col min="2" max="2" width="10.726562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975</v>
      </c>
      <c r="B2" s="156">
        <f>Commercial_Final!K5</f>
        <v>14710472070000</v>
      </c>
      <c r="C2" s="156">
        <f>Commercial_Final!L5</f>
        <v>14877663990000</v>
      </c>
      <c r="D2" s="156">
        <f>Commercial_Final!M5</f>
        <v>14904960629999.998</v>
      </c>
      <c r="E2" s="156">
        <f>Commercial_Final!N5</f>
        <v>13888738948000.002</v>
      </c>
      <c r="F2" s="156">
        <f>Commercial_Final!O5</f>
        <v>14103965372000.002</v>
      </c>
      <c r="G2" s="156">
        <f>Commercial_Final!P5</f>
        <v>12282123168000</v>
      </c>
      <c r="H2" s="156">
        <f>Commercial_Final!Q5</f>
        <v>11620065912000</v>
      </c>
      <c r="I2" s="156">
        <f>Commercial_Final!R5</f>
        <v>12197048640000</v>
      </c>
      <c r="J2" s="156">
        <f>Commercial_Final!S5</f>
        <v>12522411714970.297</v>
      </c>
      <c r="K2" s="156">
        <f>Commercial_Final!T5</f>
        <v>12649555285861.211</v>
      </c>
      <c r="L2" s="156">
        <f>Commercial_Final!U5</f>
        <v>12777180313319.811</v>
      </c>
      <c r="M2" s="156">
        <f>Commercial_Final!V5</f>
        <v>12846674120053.375</v>
      </c>
      <c r="N2" s="156">
        <f>Commercial_Final!W5</f>
        <v>12942217224061.814</v>
      </c>
      <c r="O2" s="156">
        <f>Commercial_Final!X5</f>
        <v>13037760328070.252</v>
      </c>
      <c r="P2" s="156">
        <f>Commercial_Final!Y5</f>
        <v>13133303432078.691</v>
      </c>
      <c r="Q2" s="156">
        <f>Commercial_Final!Z5</f>
        <v>13228846536087.129</v>
      </c>
      <c r="R2" s="156">
        <f>Commercial_Final!AA5</f>
        <v>13324389640095.568</v>
      </c>
      <c r="S2" s="156">
        <f>Commercial_Final!AB5</f>
        <v>13419932744104.004</v>
      </c>
      <c r="T2" s="156">
        <f>Commercial_Final!AC5</f>
        <v>13515475848112.445</v>
      </c>
      <c r="U2" s="156">
        <f>Commercial_Final!AD5</f>
        <v>13611018952120.885</v>
      </c>
      <c r="V2" s="156">
        <f>Commercial_Final!AE5</f>
        <v>13706562056129.318</v>
      </c>
      <c r="W2" s="156">
        <f>Commercial_Final!AF5</f>
        <v>13802105160137.756</v>
      </c>
      <c r="X2" s="156">
        <f>Commercial_Final!AG5</f>
        <v>13897648264146.168</v>
      </c>
      <c r="Y2" s="156">
        <f>Commercial_Final!AH5</f>
        <v>13993191368154.609</v>
      </c>
      <c r="Z2" s="156">
        <f>Commercial_Final!AI5</f>
        <v>14088734472163.043</v>
      </c>
      <c r="AA2" s="156">
        <f>Commercial_Final!AJ5</f>
        <v>14184277576171.482</v>
      </c>
      <c r="AB2" s="156">
        <f>Commercial_Final!AK5</f>
        <v>14279820680179.92</v>
      </c>
      <c r="AC2" s="156">
        <f>Commercial_Final!AL5</f>
        <v>14375363784188.357</v>
      </c>
      <c r="AD2" s="156">
        <f>Commercial_Final!AM5</f>
        <v>14470906888196.799</v>
      </c>
      <c r="AE2" s="156">
        <f>Commercial_Final!AN5</f>
        <v>14566449992205.236</v>
      </c>
      <c r="AF2" s="156">
        <f>Commercial_Final!AO5</f>
        <v>14661993096213.672</v>
      </c>
      <c r="AG2" s="156">
        <f>Commercial_Final!AP5</f>
        <v>14757536200222.113</v>
      </c>
      <c r="AH2" s="156">
        <f>Commercial_Final!AQ5</f>
        <v>14853079304230.553</v>
      </c>
      <c r="AI2" s="156">
        <f>Commercial_Final!AR5</f>
        <v>14948622408238.988</v>
      </c>
      <c r="AJ2" s="156">
        <f>Commercial_Final!AS5</f>
        <v>15044165512247.428</v>
      </c>
      <c r="AK2" s="156">
        <f>Commercial_Final!AT5</f>
        <v>15139708616255.869</v>
      </c>
      <c r="AL2" s="156">
        <f>Commercial_Final!AU5</f>
        <v>15235251720264.305</v>
      </c>
    </row>
    <row r="3" spans="1:40">
      <c r="A3" s="18" t="s">
        <v>976</v>
      </c>
      <c r="B3" s="156">
        <f>Commercial_Final!K6</f>
        <v>0</v>
      </c>
      <c r="C3" s="156">
        <f>Commercial_Final!L6</f>
        <v>0</v>
      </c>
      <c r="D3" s="156">
        <f>Commercial_Final!M6</f>
        <v>0</v>
      </c>
      <c r="E3" s="156">
        <f>Commercial_Final!N6</f>
        <v>0</v>
      </c>
      <c r="F3" s="156">
        <f>Commercial_Final!O6</f>
        <v>0</v>
      </c>
      <c r="G3" s="156">
        <f>Commercial_Final!P6</f>
        <v>0</v>
      </c>
      <c r="H3" s="156">
        <f>Commercial_Final!Q6</f>
        <v>0</v>
      </c>
      <c r="I3" s="156">
        <f>Commercial_Final!R6</f>
        <v>0</v>
      </c>
      <c r="J3" s="156">
        <f>Commercial_Final!S6</f>
        <v>0</v>
      </c>
      <c r="K3" s="156">
        <f>Commercial_Final!T6</f>
        <v>0</v>
      </c>
      <c r="L3" s="156">
        <f>Commercial_Final!U6</f>
        <v>0</v>
      </c>
      <c r="M3" s="156">
        <f>Commercial_Final!V6</f>
        <v>0</v>
      </c>
      <c r="N3" s="156">
        <f>Commercial_Final!W6</f>
        <v>0</v>
      </c>
      <c r="O3" s="156">
        <f>Commercial_Final!X6</f>
        <v>0</v>
      </c>
      <c r="P3" s="156">
        <f>Commercial_Final!Y6</f>
        <v>0</v>
      </c>
      <c r="Q3" s="156">
        <f>Commercial_Final!Z6</f>
        <v>0</v>
      </c>
      <c r="R3" s="156">
        <f>Commercial_Final!AA6</f>
        <v>0</v>
      </c>
      <c r="S3" s="156">
        <f>Commercial_Final!AB6</f>
        <v>0</v>
      </c>
      <c r="T3" s="156">
        <f>Commercial_Final!AC6</f>
        <v>0</v>
      </c>
      <c r="U3" s="156">
        <f>Commercial_Final!AD6</f>
        <v>0</v>
      </c>
      <c r="V3" s="156">
        <f>Commercial_Final!AE6</f>
        <v>0</v>
      </c>
      <c r="W3" s="156">
        <f>Commercial_Final!AF6</f>
        <v>0</v>
      </c>
      <c r="X3" s="156">
        <f>Commercial_Final!AG6</f>
        <v>0</v>
      </c>
      <c r="Y3" s="156">
        <f>Commercial_Final!AH6</f>
        <v>0</v>
      </c>
      <c r="Z3" s="156">
        <f>Commercial_Final!AI6</f>
        <v>0</v>
      </c>
      <c r="AA3" s="156">
        <f>Commercial_Final!AJ6</f>
        <v>0</v>
      </c>
      <c r="AB3" s="156">
        <f>Commercial_Final!AK6</f>
        <v>0</v>
      </c>
      <c r="AC3" s="156">
        <f>Commercial_Final!AL6</f>
        <v>0</v>
      </c>
      <c r="AD3" s="156">
        <f>Commercial_Final!AM6</f>
        <v>0</v>
      </c>
      <c r="AE3" s="156">
        <f>Commercial_Final!AN6</f>
        <v>0</v>
      </c>
      <c r="AF3" s="156">
        <f>Commercial_Final!AO6</f>
        <v>0</v>
      </c>
      <c r="AG3" s="156">
        <f>Commercial_Final!AP6</f>
        <v>0</v>
      </c>
      <c r="AH3" s="156">
        <f>Commercial_Final!AQ6</f>
        <v>0</v>
      </c>
      <c r="AI3" s="156">
        <f>Commercial_Final!AR6</f>
        <v>0</v>
      </c>
      <c r="AJ3" s="156">
        <f>Commercial_Final!AS6</f>
        <v>0</v>
      </c>
      <c r="AK3" s="156">
        <f>Commercial_Final!AT6</f>
        <v>0</v>
      </c>
      <c r="AL3" s="156">
        <f>Commercial_Final!AU6</f>
        <v>0</v>
      </c>
    </row>
    <row r="4" spans="1:40">
      <c r="A4" s="18" t="s">
        <v>977</v>
      </c>
      <c r="B4" s="156">
        <f>Commercial_Final!K7</f>
        <v>0</v>
      </c>
      <c r="C4" s="156">
        <f>Commercial_Final!L7</f>
        <v>0</v>
      </c>
      <c r="D4" s="156">
        <f>Commercial_Final!M7</f>
        <v>0</v>
      </c>
      <c r="E4" s="156">
        <f>Commercial_Final!N7</f>
        <v>0</v>
      </c>
      <c r="F4" s="156">
        <f>Commercial_Final!O7</f>
        <v>0</v>
      </c>
      <c r="G4" s="156">
        <f>Commercial_Final!P7</f>
        <v>0</v>
      </c>
      <c r="H4" s="156">
        <f>Commercial_Final!Q7</f>
        <v>0</v>
      </c>
      <c r="I4" s="156">
        <f>Commercial_Final!R7</f>
        <v>0</v>
      </c>
      <c r="J4" s="156">
        <f>Commercial_Final!S7</f>
        <v>0</v>
      </c>
      <c r="K4" s="156">
        <f>Commercial_Final!T7</f>
        <v>0</v>
      </c>
      <c r="L4" s="156">
        <f>Commercial_Final!U7</f>
        <v>0</v>
      </c>
      <c r="M4" s="156">
        <f>Commercial_Final!V7</f>
        <v>0</v>
      </c>
      <c r="N4" s="156">
        <f>Commercial_Final!W7</f>
        <v>0</v>
      </c>
      <c r="O4" s="156">
        <f>Commercial_Final!X7</f>
        <v>0</v>
      </c>
      <c r="P4" s="156">
        <f>Commercial_Final!Y7</f>
        <v>0</v>
      </c>
      <c r="Q4" s="156">
        <f>Commercial_Final!Z7</f>
        <v>0</v>
      </c>
      <c r="R4" s="156">
        <f>Commercial_Final!AA7</f>
        <v>0</v>
      </c>
      <c r="S4" s="156">
        <f>Commercial_Final!AB7</f>
        <v>0</v>
      </c>
      <c r="T4" s="156">
        <f>Commercial_Final!AC7</f>
        <v>0</v>
      </c>
      <c r="U4" s="156">
        <f>Commercial_Final!AD7</f>
        <v>0</v>
      </c>
      <c r="V4" s="156">
        <f>Commercial_Final!AE7</f>
        <v>0</v>
      </c>
      <c r="W4" s="156">
        <f>Commercial_Final!AF7</f>
        <v>0</v>
      </c>
      <c r="X4" s="156">
        <f>Commercial_Final!AG7</f>
        <v>0</v>
      </c>
      <c r="Y4" s="156">
        <f>Commercial_Final!AH7</f>
        <v>0</v>
      </c>
      <c r="Z4" s="156">
        <f>Commercial_Final!AI7</f>
        <v>0</v>
      </c>
      <c r="AA4" s="156">
        <f>Commercial_Final!AJ7</f>
        <v>0</v>
      </c>
      <c r="AB4" s="156">
        <f>Commercial_Final!AK7</f>
        <v>0</v>
      </c>
      <c r="AC4" s="156">
        <f>Commercial_Final!AL7</f>
        <v>0</v>
      </c>
      <c r="AD4" s="156">
        <f>Commercial_Final!AM7</f>
        <v>0</v>
      </c>
      <c r="AE4" s="156">
        <f>Commercial_Final!AN7</f>
        <v>0</v>
      </c>
      <c r="AF4" s="156">
        <f>Commercial_Final!AO7</f>
        <v>0</v>
      </c>
      <c r="AG4" s="156">
        <f>Commercial_Final!AP7</f>
        <v>0</v>
      </c>
      <c r="AH4" s="156">
        <f>Commercial_Final!AQ7</f>
        <v>0</v>
      </c>
      <c r="AI4" s="156">
        <f>Commercial_Final!AR7</f>
        <v>0</v>
      </c>
      <c r="AJ4" s="156">
        <f>Commercial_Final!AS7</f>
        <v>0</v>
      </c>
      <c r="AK4" s="156">
        <f>Commercial_Final!AT7</f>
        <v>0</v>
      </c>
      <c r="AL4" s="156">
        <f>Commercial_Final!AU7</f>
        <v>0</v>
      </c>
    </row>
    <row r="5" spans="1:40">
      <c r="A5" s="18" t="s">
        <v>978</v>
      </c>
      <c r="B5" s="156">
        <f>Commercial_Final!K8</f>
        <v>0</v>
      </c>
      <c r="C5" s="156">
        <f>Commercial_Final!L8</f>
        <v>0</v>
      </c>
      <c r="D5" s="156">
        <f>Commercial_Final!M8</f>
        <v>0</v>
      </c>
      <c r="E5" s="156">
        <f>Commercial_Final!N8</f>
        <v>0</v>
      </c>
      <c r="F5" s="156">
        <f>Commercial_Final!O8</f>
        <v>0</v>
      </c>
      <c r="G5" s="156">
        <f>Commercial_Final!P8</f>
        <v>0</v>
      </c>
      <c r="H5" s="156">
        <f>Commercial_Final!Q8</f>
        <v>0</v>
      </c>
      <c r="I5" s="156">
        <f>Commercial_Final!R8</f>
        <v>0</v>
      </c>
      <c r="J5" s="156">
        <f>Commercial_Final!S8</f>
        <v>0</v>
      </c>
      <c r="K5" s="156">
        <f>Commercial_Final!T8</f>
        <v>0</v>
      </c>
      <c r="L5" s="156">
        <f>Commercial_Final!U8</f>
        <v>0</v>
      </c>
      <c r="M5" s="156">
        <f>Commercial_Final!V8</f>
        <v>0</v>
      </c>
      <c r="N5" s="156">
        <f>Commercial_Final!W8</f>
        <v>0</v>
      </c>
      <c r="O5" s="156">
        <f>Commercial_Final!X8</f>
        <v>0</v>
      </c>
      <c r="P5" s="156">
        <f>Commercial_Final!Y8</f>
        <v>0</v>
      </c>
      <c r="Q5" s="156">
        <f>Commercial_Final!Z8</f>
        <v>0</v>
      </c>
      <c r="R5" s="156">
        <f>Commercial_Final!AA8</f>
        <v>0</v>
      </c>
      <c r="S5" s="156">
        <f>Commercial_Final!AB8</f>
        <v>0</v>
      </c>
      <c r="T5" s="156">
        <f>Commercial_Final!AC8</f>
        <v>0</v>
      </c>
      <c r="U5" s="156">
        <f>Commercial_Final!AD8</f>
        <v>0</v>
      </c>
      <c r="V5" s="156">
        <f>Commercial_Final!AE8</f>
        <v>0</v>
      </c>
      <c r="W5" s="156">
        <f>Commercial_Final!AF8</f>
        <v>0</v>
      </c>
      <c r="X5" s="156">
        <f>Commercial_Final!AG8</f>
        <v>0</v>
      </c>
      <c r="Y5" s="156">
        <f>Commercial_Final!AH8</f>
        <v>0</v>
      </c>
      <c r="Z5" s="156">
        <f>Commercial_Final!AI8</f>
        <v>0</v>
      </c>
      <c r="AA5" s="156">
        <f>Commercial_Final!AJ8</f>
        <v>0</v>
      </c>
      <c r="AB5" s="156">
        <f>Commercial_Final!AK8</f>
        <v>0</v>
      </c>
      <c r="AC5" s="156">
        <f>Commercial_Final!AL8</f>
        <v>0</v>
      </c>
      <c r="AD5" s="156">
        <f>Commercial_Final!AM8</f>
        <v>0</v>
      </c>
      <c r="AE5" s="156">
        <f>Commercial_Final!AN8</f>
        <v>0</v>
      </c>
      <c r="AF5" s="156">
        <f>Commercial_Final!AO8</f>
        <v>0</v>
      </c>
      <c r="AG5" s="156">
        <f>Commercial_Final!AP8</f>
        <v>0</v>
      </c>
      <c r="AH5" s="156">
        <f>Commercial_Final!AQ8</f>
        <v>0</v>
      </c>
      <c r="AI5" s="156">
        <f>Commercial_Final!AR8</f>
        <v>0</v>
      </c>
      <c r="AJ5" s="156">
        <f>Commercial_Final!AS8</f>
        <v>0</v>
      </c>
      <c r="AK5" s="156">
        <f>Commercial_Final!AT8</f>
        <v>0</v>
      </c>
      <c r="AL5" s="156">
        <f>Commercial_Final!AU8</f>
        <v>0</v>
      </c>
    </row>
    <row r="6" spans="1:40">
      <c r="A6" s="18" t="s">
        <v>979</v>
      </c>
      <c r="B6" s="156">
        <f>Commercial_Final!K9</f>
        <v>0</v>
      </c>
      <c r="C6" s="156">
        <f>Commercial_Final!L9</f>
        <v>0</v>
      </c>
      <c r="D6" s="156">
        <f>Commercial_Final!M9</f>
        <v>0</v>
      </c>
      <c r="E6" s="156">
        <f>Commercial_Final!N9</f>
        <v>0</v>
      </c>
      <c r="F6" s="156">
        <f>Commercial_Final!O9</f>
        <v>0</v>
      </c>
      <c r="G6" s="156">
        <f>Commercial_Final!P9</f>
        <v>0</v>
      </c>
      <c r="H6" s="156">
        <f>Commercial_Final!Q9</f>
        <v>0</v>
      </c>
      <c r="I6" s="156">
        <f>Commercial_Final!R9</f>
        <v>0</v>
      </c>
      <c r="J6" s="156">
        <f>Commercial_Final!S9</f>
        <v>0</v>
      </c>
      <c r="K6" s="156">
        <f>Commercial_Final!T9</f>
        <v>0</v>
      </c>
      <c r="L6" s="156">
        <f>Commercial_Final!U9</f>
        <v>0</v>
      </c>
      <c r="M6" s="156">
        <f>Commercial_Final!V9</f>
        <v>0</v>
      </c>
      <c r="N6" s="156">
        <f>Commercial_Final!W9</f>
        <v>0</v>
      </c>
      <c r="O6" s="156">
        <f>Commercial_Final!X9</f>
        <v>0</v>
      </c>
      <c r="P6" s="156">
        <f>Commercial_Final!Y9</f>
        <v>0</v>
      </c>
      <c r="Q6" s="156">
        <f>Commercial_Final!Z9</f>
        <v>0</v>
      </c>
      <c r="R6" s="156">
        <f>Commercial_Final!AA9</f>
        <v>0</v>
      </c>
      <c r="S6" s="156">
        <f>Commercial_Final!AB9</f>
        <v>0</v>
      </c>
      <c r="T6" s="156">
        <f>Commercial_Final!AC9</f>
        <v>0</v>
      </c>
      <c r="U6" s="156">
        <f>Commercial_Final!AD9</f>
        <v>0</v>
      </c>
      <c r="V6" s="156">
        <f>Commercial_Final!AE9</f>
        <v>0</v>
      </c>
      <c r="W6" s="156">
        <f>Commercial_Final!AF9</f>
        <v>0</v>
      </c>
      <c r="X6" s="156">
        <f>Commercial_Final!AG9</f>
        <v>0</v>
      </c>
      <c r="Y6" s="156">
        <f>Commercial_Final!AH9</f>
        <v>0</v>
      </c>
      <c r="Z6" s="156">
        <f>Commercial_Final!AI9</f>
        <v>0</v>
      </c>
      <c r="AA6" s="156">
        <f>Commercial_Final!AJ9</f>
        <v>0</v>
      </c>
      <c r="AB6" s="156">
        <f>Commercial_Final!AK9</f>
        <v>0</v>
      </c>
      <c r="AC6" s="156">
        <f>Commercial_Final!AL9</f>
        <v>0</v>
      </c>
      <c r="AD6" s="156">
        <f>Commercial_Final!AM9</f>
        <v>0</v>
      </c>
      <c r="AE6" s="156">
        <f>Commercial_Final!AN9</f>
        <v>0</v>
      </c>
      <c r="AF6" s="156">
        <f>Commercial_Final!AO9</f>
        <v>0</v>
      </c>
      <c r="AG6" s="156">
        <f>Commercial_Final!AP9</f>
        <v>0</v>
      </c>
      <c r="AH6" s="156">
        <f>Commercial_Final!AQ9</f>
        <v>0</v>
      </c>
      <c r="AI6" s="156">
        <f>Commercial_Final!AR9</f>
        <v>0</v>
      </c>
      <c r="AJ6" s="156">
        <f>Commercial_Final!AS9</f>
        <v>0</v>
      </c>
      <c r="AK6" s="156">
        <f>Commercial_Final!AT9</f>
        <v>0</v>
      </c>
      <c r="AL6" s="156">
        <f>Commercial_Final!AU9</f>
        <v>0</v>
      </c>
    </row>
    <row r="7" spans="1:40">
      <c r="A7" s="18" t="s">
        <v>980</v>
      </c>
      <c r="B7" s="156">
        <f>Commercial_Final!K10</f>
        <v>0</v>
      </c>
      <c r="C7" s="156">
        <f>Commercial_Final!L10</f>
        <v>0</v>
      </c>
      <c r="D7" s="156">
        <f>Commercial_Final!M10</f>
        <v>0</v>
      </c>
      <c r="E7" s="156">
        <f>Commercial_Final!N10</f>
        <v>0</v>
      </c>
      <c r="F7" s="156">
        <f>Commercial_Final!O10</f>
        <v>0</v>
      </c>
      <c r="G7" s="156">
        <f>Commercial_Final!P10</f>
        <v>0</v>
      </c>
      <c r="H7" s="156">
        <f>Commercial_Final!Q10</f>
        <v>0</v>
      </c>
      <c r="I7" s="156">
        <f>Commercial_Final!R10</f>
        <v>0</v>
      </c>
      <c r="J7" s="156">
        <f>Commercial_Final!S10</f>
        <v>0</v>
      </c>
      <c r="K7" s="156">
        <f>Commercial_Final!T10</f>
        <v>0</v>
      </c>
      <c r="L7" s="156">
        <f>Commercial_Final!U10</f>
        <v>0</v>
      </c>
      <c r="M7" s="156">
        <f>Commercial_Final!V10</f>
        <v>0</v>
      </c>
      <c r="N7" s="156">
        <f>Commercial_Final!W10</f>
        <v>0</v>
      </c>
      <c r="O7" s="156">
        <f>Commercial_Final!X10</f>
        <v>0</v>
      </c>
      <c r="P7" s="156">
        <f>Commercial_Final!Y10</f>
        <v>0</v>
      </c>
      <c r="Q7" s="156">
        <f>Commercial_Final!Z10</f>
        <v>0</v>
      </c>
      <c r="R7" s="156">
        <f>Commercial_Final!AA10</f>
        <v>0</v>
      </c>
      <c r="S7" s="156">
        <f>Commercial_Final!AB10</f>
        <v>0</v>
      </c>
      <c r="T7" s="156">
        <f>Commercial_Final!AC10</f>
        <v>0</v>
      </c>
      <c r="U7" s="156">
        <f>Commercial_Final!AD10</f>
        <v>0</v>
      </c>
      <c r="V7" s="156">
        <f>Commercial_Final!AE10</f>
        <v>0</v>
      </c>
      <c r="W7" s="156">
        <f>Commercial_Final!AF10</f>
        <v>0</v>
      </c>
      <c r="X7" s="156">
        <f>Commercial_Final!AG10</f>
        <v>0</v>
      </c>
      <c r="Y7" s="156">
        <f>Commercial_Final!AH10</f>
        <v>0</v>
      </c>
      <c r="Z7" s="156">
        <f>Commercial_Final!AI10</f>
        <v>0</v>
      </c>
      <c r="AA7" s="156">
        <f>Commercial_Final!AJ10</f>
        <v>0</v>
      </c>
      <c r="AB7" s="156">
        <f>Commercial_Final!AK10</f>
        <v>0</v>
      </c>
      <c r="AC7" s="156">
        <f>Commercial_Final!AL10</f>
        <v>0</v>
      </c>
      <c r="AD7" s="156">
        <f>Commercial_Final!AM10</f>
        <v>0</v>
      </c>
      <c r="AE7" s="156">
        <f>Commercial_Final!AN10</f>
        <v>0</v>
      </c>
      <c r="AF7" s="156">
        <f>Commercial_Final!AO10</f>
        <v>0</v>
      </c>
      <c r="AG7" s="156">
        <f>Commercial_Final!AP10</f>
        <v>0</v>
      </c>
      <c r="AH7" s="156">
        <f>Commercial_Final!AQ10</f>
        <v>0</v>
      </c>
      <c r="AI7" s="156">
        <f>Commercial_Final!AR10</f>
        <v>0</v>
      </c>
      <c r="AJ7" s="156">
        <f>Commercial_Final!AS10</f>
        <v>0</v>
      </c>
      <c r="AK7" s="156">
        <f>Commercial_Final!AT10</f>
        <v>0</v>
      </c>
      <c r="AL7" s="156">
        <f>Commercial_Final!AU10</f>
        <v>0</v>
      </c>
    </row>
    <row r="8" spans="1:40">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defaultColWidth="8.7265625" defaultRowHeight="14.5"/>
  <cols>
    <col min="1" max="1" width="23.7265625" customWidth="1"/>
    <col min="2" max="2" width="10.7265625" bestFit="1" customWidth="1"/>
    <col min="7" max="7" width="10.726562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975</v>
      </c>
      <c r="B2" s="156">
        <f>Commercial_Final!K32</f>
        <v>21575359036000.004</v>
      </c>
      <c r="C2" s="156">
        <f>Commercial_Final!L32</f>
        <v>20828729586000.004</v>
      </c>
      <c r="D2" s="156">
        <f>Commercial_Final!M32</f>
        <v>20866944882000.004</v>
      </c>
      <c r="E2" s="156">
        <f>Commercial_Final!N32</f>
        <v>21825161204000</v>
      </c>
      <c r="F2" s="156">
        <f>Commercial_Final!O32</f>
        <v>22163374156000</v>
      </c>
      <c r="G2" s="156">
        <f>Commercial_Final!P32</f>
        <v>20470205280000.004</v>
      </c>
      <c r="H2" s="156">
        <f>Commercial_Final!Q32</f>
        <v>16461760042000</v>
      </c>
      <c r="I2" s="156">
        <f>Commercial_Final!R32</f>
        <v>18295572960000</v>
      </c>
      <c r="J2" s="156">
        <f>Commercial_Final!S32</f>
        <v>18783617572455.445</v>
      </c>
      <c r="K2" s="156">
        <f>Commercial_Final!T32</f>
        <v>18974332928791.816</v>
      </c>
      <c r="L2" s="156">
        <f>Commercial_Final!U32</f>
        <v>19165770469979.715</v>
      </c>
      <c r="M2" s="156">
        <f>Commercial_Final!V32</f>
        <v>19270011180080.066</v>
      </c>
      <c r="N2" s="156">
        <f>Commercial_Final!W32</f>
        <v>19413325836092.723</v>
      </c>
      <c r="O2" s="156">
        <f>Commercial_Final!X32</f>
        <v>19556640492105.375</v>
      </c>
      <c r="P2" s="156">
        <f>Commercial_Final!Y32</f>
        <v>19699955148118.035</v>
      </c>
      <c r="Q2" s="156">
        <f>Commercial_Final!Z32</f>
        <v>19843269804130.695</v>
      </c>
      <c r="R2" s="156">
        <f>Commercial_Final!AA32</f>
        <v>19986584460143.352</v>
      </c>
      <c r="S2" s="156">
        <f>Commercial_Final!AB32</f>
        <v>20129899116156.004</v>
      </c>
      <c r="T2" s="156">
        <f>Commercial_Final!AC32</f>
        <v>20273213772168.668</v>
      </c>
      <c r="U2" s="156">
        <f>Commercial_Final!AD32</f>
        <v>20416528428181.328</v>
      </c>
      <c r="V2" s="156">
        <f>Commercial_Final!AE32</f>
        <v>20559843084193.98</v>
      </c>
      <c r="W2" s="156">
        <f>Commercial_Final!AF32</f>
        <v>20703157740206.633</v>
      </c>
      <c r="X2" s="156">
        <f>Commercial_Final!AG32</f>
        <v>20846472396219.25</v>
      </c>
      <c r="Y2" s="156">
        <f>Commercial_Final!AH32</f>
        <v>20989787052231.914</v>
      </c>
      <c r="Z2" s="156">
        <f>Commercial_Final!AI32</f>
        <v>21133101708244.566</v>
      </c>
      <c r="AA2" s="156">
        <f>Commercial_Final!AJ32</f>
        <v>21276416364257.223</v>
      </c>
      <c r="AB2" s="156">
        <f>Commercial_Final!AK32</f>
        <v>21419731020269.879</v>
      </c>
      <c r="AC2" s="156">
        <f>Commercial_Final!AL32</f>
        <v>21563045676282.539</v>
      </c>
      <c r="AD2" s="156">
        <f>Commercial_Final!AM32</f>
        <v>21706360332295.199</v>
      </c>
      <c r="AE2" s="156">
        <f>Commercial_Final!AN32</f>
        <v>21849674988307.855</v>
      </c>
      <c r="AF2" s="156">
        <f>Commercial_Final!AO32</f>
        <v>21992989644320.508</v>
      </c>
      <c r="AG2" s="156">
        <f>Commercial_Final!AP32</f>
        <v>22136304300333.168</v>
      </c>
      <c r="AH2" s="156">
        <f>Commercial_Final!AQ32</f>
        <v>22279618956345.828</v>
      </c>
      <c r="AI2" s="156">
        <f>Commercial_Final!AR32</f>
        <v>22422933612358.484</v>
      </c>
      <c r="AJ2" s="156">
        <f>Commercial_Final!AS32</f>
        <v>22566248268371.141</v>
      </c>
      <c r="AK2" s="156">
        <f>Commercial_Final!AT32</f>
        <v>22709562924383.801</v>
      </c>
      <c r="AL2" s="156">
        <f>Commercial_Final!AU32</f>
        <v>22852877580396.457</v>
      </c>
    </row>
    <row r="3" spans="1:40">
      <c r="A3" s="18" t="s">
        <v>976</v>
      </c>
      <c r="B3" s="156">
        <f>Commercial_Final!K33</f>
        <v>678150900000</v>
      </c>
      <c r="C3" s="156">
        <f>Commercial_Final!L33</f>
        <v>585266500000</v>
      </c>
      <c r="D3" s="156">
        <f>Commercial_Final!M33</f>
        <v>482904100000</v>
      </c>
      <c r="E3" s="156">
        <f>Commercial_Final!N33</f>
        <v>393337000000</v>
      </c>
      <c r="F3" s="156">
        <f>Commercial_Final!O33</f>
        <v>319882500000</v>
      </c>
      <c r="G3" s="156">
        <f>Commercial_Final!P33</f>
        <v>272018600000</v>
      </c>
      <c r="H3" s="156">
        <f>Commercial_Final!Q33</f>
        <v>236002200000</v>
      </c>
      <c r="I3" s="156">
        <f>Commercial_Final!R33</f>
        <v>232211000000</v>
      </c>
      <c r="J3" s="156">
        <f>Commercial_Final!S33</f>
        <v>0</v>
      </c>
      <c r="K3" s="156">
        <f>Commercial_Final!T33</f>
        <v>592490070788.22559</v>
      </c>
      <c r="L3" s="156">
        <f>Commercial_Final!U33</f>
        <v>596963062548.92029</v>
      </c>
      <c r="M3" s="156">
        <f>Commercial_Final!V33</f>
        <v>601436054309.61499</v>
      </c>
      <c r="N3" s="156">
        <f>Commercial_Final!W33</f>
        <v>605909046070.30969</v>
      </c>
      <c r="O3" s="156">
        <f>Commercial_Final!X33</f>
        <v>610382037831.00427</v>
      </c>
      <c r="P3" s="156">
        <f>Commercial_Final!Y33</f>
        <v>614855029591.6991</v>
      </c>
      <c r="Q3" s="156">
        <f>Commercial_Final!Z33</f>
        <v>619328021352.39368</v>
      </c>
      <c r="R3" s="156">
        <f>Commercial_Final!AA33</f>
        <v>623801013113.08838</v>
      </c>
      <c r="S3" s="156">
        <f>Commercial_Final!AB33</f>
        <v>628274004873.78296</v>
      </c>
      <c r="T3" s="156">
        <f>Commercial_Final!AC33</f>
        <v>632746996634.47778</v>
      </c>
      <c r="U3" s="156">
        <f>Commercial_Final!AD33</f>
        <v>637219988395.17249</v>
      </c>
      <c r="V3" s="156">
        <f>Commercial_Final!AE33</f>
        <v>641692980155.86707</v>
      </c>
      <c r="W3" s="156">
        <f>Commercial_Final!AF33</f>
        <v>646165971916.56177</v>
      </c>
      <c r="X3" s="156">
        <f>Commercial_Final!AG33</f>
        <v>650638963677.255</v>
      </c>
      <c r="Y3" s="156">
        <f>Commercial_Final!AH33</f>
        <v>655111955437.94995</v>
      </c>
      <c r="Z3" s="156">
        <f>Commercial_Final!AI33</f>
        <v>659584947198.64441</v>
      </c>
      <c r="AA3" s="156">
        <f>Commercial_Final!AJ33</f>
        <v>664057938959.33911</v>
      </c>
      <c r="AB3" s="156">
        <f>Commercial_Final!AK33</f>
        <v>668530930720.03369</v>
      </c>
      <c r="AC3" s="156">
        <f>Commercial_Final!AL33</f>
        <v>673003922480.72852</v>
      </c>
      <c r="AD3" s="156">
        <f>Commercial_Final!AM33</f>
        <v>677476914241.42322</v>
      </c>
      <c r="AE3" s="156">
        <f>Commercial_Final!AN33</f>
        <v>681949906002.1178</v>
      </c>
      <c r="AF3" s="156">
        <f>Commercial_Final!AO33</f>
        <v>686422897762.81238</v>
      </c>
      <c r="AG3" s="156">
        <f>Commercial_Final!AP33</f>
        <v>690895889523.5072</v>
      </c>
      <c r="AH3" s="156">
        <f>Commercial_Final!AQ33</f>
        <v>695368881284.2019</v>
      </c>
      <c r="AI3" s="156">
        <f>Commercial_Final!AR33</f>
        <v>699841873044.89636</v>
      </c>
      <c r="AJ3" s="156">
        <f>Commercial_Final!AS33</f>
        <v>704314864805.59119</v>
      </c>
      <c r="AK3" s="156">
        <f>Commercial_Final!AT33</f>
        <v>708787856566.28601</v>
      </c>
      <c r="AL3" s="156">
        <f>Commercial_Final!AU33</f>
        <v>713260848326.98071</v>
      </c>
    </row>
    <row r="4" spans="1:40">
      <c r="A4" s="18" t="s">
        <v>977</v>
      </c>
      <c r="B4" s="156">
        <f>Commercial_Final!K34</f>
        <v>13944981400000</v>
      </c>
      <c r="C4" s="156">
        <f>Commercial_Final!L34</f>
        <v>13776273000000</v>
      </c>
      <c r="D4" s="156">
        <f>Commercial_Final!M34</f>
        <v>13838827800000</v>
      </c>
      <c r="E4" s="156">
        <f>Commercial_Final!N34</f>
        <v>14129802400000</v>
      </c>
      <c r="F4" s="156">
        <f>Commercial_Final!O34</f>
        <v>14457741200000</v>
      </c>
      <c r="G4" s="156">
        <f>Commercial_Final!P34</f>
        <v>13686232000000</v>
      </c>
      <c r="H4" s="156">
        <f>Commercial_Final!Q34</f>
        <v>11228586600000</v>
      </c>
      <c r="I4" s="156">
        <f>Commercial_Final!R34</f>
        <v>11708173400000</v>
      </c>
      <c r="J4" s="156">
        <f>Commercial_Final!S34</f>
        <v>14457741200000</v>
      </c>
      <c r="K4" s="156">
        <f>Commercial_Final!T34</f>
        <v>14457741200000</v>
      </c>
      <c r="L4" s="156">
        <f>Commercial_Final!U34</f>
        <v>14457741200000</v>
      </c>
      <c r="M4" s="156">
        <f>Commercial_Final!V34</f>
        <v>14457741200000</v>
      </c>
      <c r="N4" s="156">
        <f>Commercial_Final!W34</f>
        <v>14457741200000</v>
      </c>
      <c r="O4" s="156">
        <f>Commercial_Final!X34</f>
        <v>14457741200000</v>
      </c>
      <c r="P4" s="156">
        <f>Commercial_Final!Y34</f>
        <v>14457741200000</v>
      </c>
      <c r="Q4" s="156">
        <f>Commercial_Final!Z34</f>
        <v>14457741200000</v>
      </c>
      <c r="R4" s="156">
        <f>Commercial_Final!AA34</f>
        <v>14457741200000</v>
      </c>
      <c r="S4" s="156">
        <f>Commercial_Final!AB34</f>
        <v>14457741200000</v>
      </c>
      <c r="T4" s="156">
        <f>Commercial_Final!AC34</f>
        <v>14457741200000</v>
      </c>
      <c r="U4" s="156">
        <f>Commercial_Final!AD34</f>
        <v>14457741200000</v>
      </c>
      <c r="V4" s="156">
        <f>Commercial_Final!AE34</f>
        <v>14457741200000</v>
      </c>
      <c r="W4" s="156">
        <f>Commercial_Final!AF34</f>
        <v>14457741200000</v>
      </c>
      <c r="X4" s="156">
        <f>Commercial_Final!AG34</f>
        <v>14457741200000</v>
      </c>
      <c r="Y4" s="156">
        <f>Commercial_Final!AH34</f>
        <v>14457741200000</v>
      </c>
      <c r="Z4" s="156">
        <f>Commercial_Final!AI34</f>
        <v>14457741200000</v>
      </c>
      <c r="AA4" s="156">
        <f>Commercial_Final!AJ34</f>
        <v>14457741200000</v>
      </c>
      <c r="AB4" s="156">
        <f>Commercial_Final!AK34</f>
        <v>14457741200000</v>
      </c>
      <c r="AC4" s="156">
        <f>Commercial_Final!AL34</f>
        <v>14457741200000</v>
      </c>
      <c r="AD4" s="156">
        <f>Commercial_Final!AM34</f>
        <v>14457741200000</v>
      </c>
      <c r="AE4" s="156">
        <f>Commercial_Final!AN34</f>
        <v>14457741200000</v>
      </c>
      <c r="AF4" s="156">
        <f>Commercial_Final!AO34</f>
        <v>14457741200000</v>
      </c>
      <c r="AG4" s="156">
        <f>Commercial_Final!AP34</f>
        <v>14457741200000</v>
      </c>
      <c r="AH4" s="156">
        <f>Commercial_Final!AQ34</f>
        <v>14457741200000</v>
      </c>
      <c r="AI4" s="156">
        <f>Commercial_Final!AR34</f>
        <v>14457741200000</v>
      </c>
      <c r="AJ4" s="156">
        <f>Commercial_Final!AS34</f>
        <v>14457741200000</v>
      </c>
      <c r="AK4" s="156">
        <f>Commercial_Final!AT34</f>
        <v>14457741200000</v>
      </c>
      <c r="AL4" s="156">
        <f>Commercial_Final!AU34</f>
        <v>14457741200000</v>
      </c>
    </row>
    <row r="5" spans="1:40">
      <c r="A5" s="18" t="s">
        <v>978</v>
      </c>
      <c r="B5" s="156">
        <f>Commercial_Final!K35</f>
        <v>678150900000</v>
      </c>
      <c r="C5" s="156">
        <f>Commercial_Final!L35</f>
        <v>585266500000</v>
      </c>
      <c r="D5" s="156">
        <f>Commercial_Final!M35</f>
        <v>482904100000</v>
      </c>
      <c r="E5" s="156">
        <f>Commercial_Final!N35</f>
        <v>393337000000</v>
      </c>
      <c r="F5" s="156">
        <f>Commercial_Final!O35</f>
        <v>319882500000</v>
      </c>
      <c r="G5" s="156">
        <f>Commercial_Final!P35</f>
        <v>272018600000</v>
      </c>
      <c r="H5" s="156">
        <f>Commercial_Final!Q35</f>
        <v>236002200000</v>
      </c>
      <c r="I5" s="156">
        <f>Commercial_Final!R35</f>
        <v>232211000000</v>
      </c>
      <c r="J5" s="156">
        <f>Commercial_Final!S35</f>
        <v>0</v>
      </c>
      <c r="K5" s="156">
        <f>Commercial_Final!T35</f>
        <v>592490070788.22559</v>
      </c>
      <c r="L5" s="156">
        <f>Commercial_Final!U35</f>
        <v>596963062548.92029</v>
      </c>
      <c r="M5" s="156">
        <f>Commercial_Final!V35</f>
        <v>601436054309.61499</v>
      </c>
      <c r="N5" s="156">
        <f>Commercial_Final!W35</f>
        <v>605909046070.30969</v>
      </c>
      <c r="O5" s="156">
        <f>Commercial_Final!X35</f>
        <v>610382037831.00427</v>
      </c>
      <c r="P5" s="156">
        <f>Commercial_Final!Y35</f>
        <v>614855029591.6991</v>
      </c>
      <c r="Q5" s="156">
        <f>Commercial_Final!Z35</f>
        <v>619328021352.39368</v>
      </c>
      <c r="R5" s="156">
        <f>Commercial_Final!AA35</f>
        <v>623801013113.08838</v>
      </c>
      <c r="S5" s="156">
        <f>Commercial_Final!AB35</f>
        <v>628274004873.78296</v>
      </c>
      <c r="T5" s="156">
        <f>Commercial_Final!AC35</f>
        <v>632746996634.47778</v>
      </c>
      <c r="U5" s="156">
        <f>Commercial_Final!AD35</f>
        <v>637219988395.17249</v>
      </c>
      <c r="V5" s="156">
        <f>Commercial_Final!AE35</f>
        <v>641692980155.86707</v>
      </c>
      <c r="W5" s="156">
        <f>Commercial_Final!AF35</f>
        <v>646165971916.56177</v>
      </c>
      <c r="X5" s="156">
        <f>Commercial_Final!AG35</f>
        <v>650638963677.255</v>
      </c>
      <c r="Y5" s="156">
        <f>Commercial_Final!AH35</f>
        <v>655111955437.94995</v>
      </c>
      <c r="Z5" s="156">
        <f>Commercial_Final!AI35</f>
        <v>659584947198.64441</v>
      </c>
      <c r="AA5" s="156">
        <f>Commercial_Final!AJ35</f>
        <v>664057938959.33911</v>
      </c>
      <c r="AB5" s="156">
        <f>Commercial_Final!AK35</f>
        <v>668530930720.03369</v>
      </c>
      <c r="AC5" s="156">
        <f>Commercial_Final!AL35</f>
        <v>673003922480.72852</v>
      </c>
      <c r="AD5" s="156">
        <f>Commercial_Final!AM35</f>
        <v>677476914241.42322</v>
      </c>
      <c r="AE5" s="156">
        <f>Commercial_Final!AN35</f>
        <v>681949906002.1178</v>
      </c>
      <c r="AF5" s="156">
        <f>Commercial_Final!AO35</f>
        <v>686422897762.81238</v>
      </c>
      <c r="AG5" s="156">
        <f>Commercial_Final!AP35</f>
        <v>690895889523.5072</v>
      </c>
      <c r="AH5" s="156">
        <f>Commercial_Final!AQ35</f>
        <v>695368881284.2019</v>
      </c>
      <c r="AI5" s="156">
        <f>Commercial_Final!AR35</f>
        <v>699841873044.89636</v>
      </c>
      <c r="AJ5" s="156">
        <f>Commercial_Final!AS35</f>
        <v>704314864805.59119</v>
      </c>
      <c r="AK5" s="156">
        <f>Commercial_Final!AT35</f>
        <v>708787856566.28601</v>
      </c>
      <c r="AL5" s="156">
        <f>Commercial_Final!AU35</f>
        <v>713260848326.98071</v>
      </c>
    </row>
    <row r="6" spans="1:40">
      <c r="A6" s="18" t="s">
        <v>979</v>
      </c>
      <c r="B6" s="156">
        <f>Commercial_Final!K36</f>
        <v>0</v>
      </c>
      <c r="C6" s="156">
        <f>Commercial_Final!L36</f>
        <v>0</v>
      </c>
      <c r="D6" s="156">
        <f>Commercial_Final!M36</f>
        <v>0</v>
      </c>
      <c r="E6" s="156">
        <f>Commercial_Final!N36</f>
        <v>0</v>
      </c>
      <c r="F6" s="156">
        <f>Commercial_Final!O36</f>
        <v>0</v>
      </c>
      <c r="G6" s="156">
        <f>Commercial_Final!P36</f>
        <v>0</v>
      </c>
      <c r="H6" s="156">
        <f>Commercial_Final!Q36</f>
        <v>0</v>
      </c>
      <c r="I6" s="156">
        <f>Commercial_Final!R36</f>
        <v>0</v>
      </c>
      <c r="J6" s="156">
        <f>Commercial_Final!S36</f>
        <v>0</v>
      </c>
      <c r="K6" s="156">
        <f>Commercial_Final!T36</f>
        <v>0</v>
      </c>
      <c r="L6" s="156">
        <f>Commercial_Final!U36</f>
        <v>0</v>
      </c>
      <c r="M6" s="156">
        <f>Commercial_Final!V36</f>
        <v>0</v>
      </c>
      <c r="N6" s="156">
        <f>Commercial_Final!W36</f>
        <v>0</v>
      </c>
      <c r="O6" s="156">
        <f>Commercial_Final!X36</f>
        <v>0</v>
      </c>
      <c r="P6" s="156">
        <f>Commercial_Final!Y36</f>
        <v>0</v>
      </c>
      <c r="Q6" s="156">
        <f>Commercial_Final!Z36</f>
        <v>0</v>
      </c>
      <c r="R6" s="156">
        <f>Commercial_Final!AA36</f>
        <v>0</v>
      </c>
      <c r="S6" s="156">
        <f>Commercial_Final!AB36</f>
        <v>0</v>
      </c>
      <c r="T6" s="156">
        <f>Commercial_Final!AC36</f>
        <v>0</v>
      </c>
      <c r="U6" s="156">
        <f>Commercial_Final!AD36</f>
        <v>0</v>
      </c>
      <c r="V6" s="156">
        <f>Commercial_Final!AE36</f>
        <v>0</v>
      </c>
      <c r="W6" s="156">
        <f>Commercial_Final!AF36</f>
        <v>0</v>
      </c>
      <c r="X6" s="156">
        <f>Commercial_Final!AG36</f>
        <v>0</v>
      </c>
      <c r="Y6" s="156">
        <f>Commercial_Final!AH36</f>
        <v>0</v>
      </c>
      <c r="Z6" s="156">
        <f>Commercial_Final!AI36</f>
        <v>0</v>
      </c>
      <c r="AA6" s="156">
        <f>Commercial_Final!AJ36</f>
        <v>0</v>
      </c>
      <c r="AB6" s="156">
        <f>Commercial_Final!AK36</f>
        <v>0</v>
      </c>
      <c r="AC6" s="156">
        <f>Commercial_Final!AL36</f>
        <v>0</v>
      </c>
      <c r="AD6" s="156">
        <f>Commercial_Final!AM36</f>
        <v>0</v>
      </c>
      <c r="AE6" s="156">
        <f>Commercial_Final!AN36</f>
        <v>0</v>
      </c>
      <c r="AF6" s="156">
        <f>Commercial_Final!AO36</f>
        <v>0</v>
      </c>
      <c r="AG6" s="156">
        <f>Commercial_Final!AP36</f>
        <v>0</v>
      </c>
      <c r="AH6" s="156">
        <f>Commercial_Final!AQ36</f>
        <v>0</v>
      </c>
      <c r="AI6" s="156">
        <f>Commercial_Final!AR36</f>
        <v>0</v>
      </c>
      <c r="AJ6" s="156">
        <f>Commercial_Final!AS36</f>
        <v>0</v>
      </c>
      <c r="AK6" s="156">
        <f>Commercial_Final!AT36</f>
        <v>0</v>
      </c>
      <c r="AL6" s="156">
        <f>Commercial_Final!AU36</f>
        <v>0</v>
      </c>
    </row>
    <row r="7" spans="1:40">
      <c r="A7" s="18" t="s">
        <v>980</v>
      </c>
      <c r="B7" s="156">
        <f>Commercial_Final!K37</f>
        <v>0</v>
      </c>
      <c r="C7" s="156">
        <f>Commercial_Final!L37</f>
        <v>0</v>
      </c>
      <c r="D7" s="156">
        <f>Commercial_Final!M37</f>
        <v>0</v>
      </c>
      <c r="E7" s="156">
        <f>Commercial_Final!N37</f>
        <v>0</v>
      </c>
      <c r="F7" s="156">
        <f>Commercial_Final!O37</f>
        <v>0</v>
      </c>
      <c r="G7" s="156">
        <f>Commercial_Final!P37</f>
        <v>0</v>
      </c>
      <c r="H7" s="156">
        <f>Commercial_Final!Q37</f>
        <v>0</v>
      </c>
      <c r="I7" s="156">
        <f>Commercial_Final!R37</f>
        <v>0</v>
      </c>
      <c r="J7" s="156">
        <f>Commercial_Final!S37</f>
        <v>0</v>
      </c>
      <c r="K7" s="156">
        <f>Commercial_Final!T37</f>
        <v>0</v>
      </c>
      <c r="L7" s="156">
        <f>Commercial_Final!U37</f>
        <v>0</v>
      </c>
      <c r="M7" s="156">
        <f>Commercial_Final!V37</f>
        <v>0</v>
      </c>
      <c r="N7" s="156">
        <f>Commercial_Final!W37</f>
        <v>0</v>
      </c>
      <c r="O7" s="156">
        <f>Commercial_Final!X37</f>
        <v>0</v>
      </c>
      <c r="P7" s="156">
        <f>Commercial_Final!Y37</f>
        <v>0</v>
      </c>
      <c r="Q7" s="156">
        <f>Commercial_Final!Z37</f>
        <v>0</v>
      </c>
      <c r="R7" s="156">
        <f>Commercial_Final!AA37</f>
        <v>0</v>
      </c>
      <c r="S7" s="156">
        <f>Commercial_Final!AB37</f>
        <v>0</v>
      </c>
      <c r="T7" s="156">
        <f>Commercial_Final!AC37</f>
        <v>0</v>
      </c>
      <c r="U7" s="156">
        <f>Commercial_Final!AD37</f>
        <v>0</v>
      </c>
      <c r="V7" s="156">
        <f>Commercial_Final!AE37</f>
        <v>0</v>
      </c>
      <c r="W7" s="156">
        <f>Commercial_Final!AF37</f>
        <v>0</v>
      </c>
      <c r="X7" s="156">
        <f>Commercial_Final!AG37</f>
        <v>0</v>
      </c>
      <c r="Y7" s="156">
        <f>Commercial_Final!AH37</f>
        <v>0</v>
      </c>
      <c r="Z7" s="156">
        <f>Commercial_Final!AI37</f>
        <v>0</v>
      </c>
      <c r="AA7" s="156">
        <f>Commercial_Final!AJ37</f>
        <v>0</v>
      </c>
      <c r="AB7" s="156">
        <f>Commercial_Final!AK37</f>
        <v>0</v>
      </c>
      <c r="AC7" s="156">
        <f>Commercial_Final!AL37</f>
        <v>0</v>
      </c>
      <c r="AD7" s="156">
        <f>Commercial_Final!AM37</f>
        <v>0</v>
      </c>
      <c r="AE7" s="156">
        <f>Commercial_Final!AN37</f>
        <v>0</v>
      </c>
      <c r="AF7" s="156">
        <f>Commercial_Final!AO37</f>
        <v>0</v>
      </c>
      <c r="AG7" s="156">
        <f>Commercial_Final!AP37</f>
        <v>0</v>
      </c>
      <c r="AH7" s="156">
        <f>Commercial_Final!AQ37</f>
        <v>0</v>
      </c>
      <c r="AI7" s="156">
        <f>Commercial_Final!AR37</f>
        <v>0</v>
      </c>
      <c r="AJ7" s="156">
        <f>Commercial_Final!AS37</f>
        <v>0</v>
      </c>
      <c r="AK7" s="156">
        <f>Commercial_Final!AT37</f>
        <v>0</v>
      </c>
      <c r="AL7" s="156">
        <f>Commercial_Final!AU37</f>
        <v>0</v>
      </c>
    </row>
    <row r="8" spans="1:40">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defaultColWidth="8.7265625" defaultRowHeight="14.5"/>
  <cols>
    <col min="1" max="1" width="23.7265625" customWidth="1"/>
    <col min="2" max="2" width="10.726562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975</v>
      </c>
      <c r="B2" s="156">
        <f>Commercial_Final!K41</f>
        <v>31382340416000</v>
      </c>
      <c r="C2" s="156">
        <f>Commercial_Final!L41</f>
        <v>34714549309999.996</v>
      </c>
      <c r="D2" s="156">
        <f>Commercial_Final!M41</f>
        <v>34778241469999.996</v>
      </c>
      <c r="E2" s="156">
        <f>Commercial_Final!N41</f>
        <v>33729794588000</v>
      </c>
      <c r="F2" s="156">
        <f>Commercial_Final!O41</f>
        <v>34252487332000.004</v>
      </c>
      <c r="G2" s="156">
        <f>Commercial_Final!P41</f>
        <v>44010941352000</v>
      </c>
      <c r="H2" s="156">
        <f>Commercial_Final!Q41</f>
        <v>40670230692000</v>
      </c>
      <c r="I2" s="156">
        <f>Commercial_Final!R41</f>
        <v>42689670239999.992</v>
      </c>
      <c r="J2" s="156">
        <f>Commercial_Final!S41</f>
        <v>43828441002396.047</v>
      </c>
      <c r="K2" s="156">
        <f>Commercial_Final!T41</f>
        <v>44273443500514.234</v>
      </c>
      <c r="L2" s="156">
        <f>Commercial_Final!U41</f>
        <v>44720131096619.328</v>
      </c>
      <c r="M2" s="156">
        <f>Commercial_Final!V41</f>
        <v>44963359420186.813</v>
      </c>
      <c r="N2" s="156">
        <f>Commercial_Final!W41</f>
        <v>45297760284216.352</v>
      </c>
      <c r="O2" s="156">
        <f>Commercial_Final!X41</f>
        <v>45632161148245.875</v>
      </c>
      <c r="P2" s="156">
        <f>Commercial_Final!Y41</f>
        <v>45966562012275.414</v>
      </c>
      <c r="Q2" s="156">
        <f>Commercial_Final!Z41</f>
        <v>46300962876304.953</v>
      </c>
      <c r="R2" s="156">
        <f>Commercial_Final!AA41</f>
        <v>46635363740334.484</v>
      </c>
      <c r="S2" s="156">
        <f>Commercial_Final!AB41</f>
        <v>46969764604364.016</v>
      </c>
      <c r="T2" s="156">
        <f>Commercial_Final!AC41</f>
        <v>47304165468393.563</v>
      </c>
      <c r="U2" s="156">
        <f>Commercial_Final!AD41</f>
        <v>47638566332423.094</v>
      </c>
      <c r="V2" s="156">
        <f>Commercial_Final!AE41</f>
        <v>47972967196452.617</v>
      </c>
      <c r="W2" s="156">
        <f>Commercial_Final!AF41</f>
        <v>48307368060482.148</v>
      </c>
      <c r="X2" s="156">
        <f>Commercial_Final!AG41</f>
        <v>48641768924511.586</v>
      </c>
      <c r="Y2" s="156">
        <f>Commercial_Final!AH41</f>
        <v>48976169788541.133</v>
      </c>
      <c r="Z2" s="156">
        <f>Commercial_Final!AI41</f>
        <v>49310570652570.648</v>
      </c>
      <c r="AA2" s="156">
        <f>Commercial_Final!AJ41</f>
        <v>49644971516600.188</v>
      </c>
      <c r="AB2" s="156">
        <f>Commercial_Final!AK41</f>
        <v>49979372380629.719</v>
      </c>
      <c r="AC2" s="156">
        <f>Commercial_Final!AL41</f>
        <v>50313773244659.25</v>
      </c>
      <c r="AD2" s="156">
        <f>Commercial_Final!AM41</f>
        <v>50648174108688.797</v>
      </c>
      <c r="AE2" s="156">
        <f>Commercial_Final!AN41</f>
        <v>50982574972718.328</v>
      </c>
      <c r="AF2" s="156">
        <f>Commercial_Final!AO41</f>
        <v>51316975836747.852</v>
      </c>
      <c r="AG2" s="156">
        <f>Commercial_Final!AP41</f>
        <v>51651376700777.398</v>
      </c>
      <c r="AH2" s="156">
        <f>Commercial_Final!AQ41</f>
        <v>51985777564806.93</v>
      </c>
      <c r="AI2" s="156">
        <f>Commercial_Final!AR41</f>
        <v>52320178428836.453</v>
      </c>
      <c r="AJ2" s="156">
        <f>Commercial_Final!AS41</f>
        <v>52654579292866</v>
      </c>
      <c r="AK2" s="156">
        <f>Commercial_Final!AT41</f>
        <v>52988980156895.539</v>
      </c>
      <c r="AL2" s="156">
        <f>Commercial_Final!AU41</f>
        <v>53323381020925.063</v>
      </c>
    </row>
    <row r="3" spans="1:40">
      <c r="A3" s="18" t="s">
        <v>976</v>
      </c>
      <c r="B3" s="156">
        <f>Commercial_Final!K42</f>
        <v>0</v>
      </c>
      <c r="C3" s="156">
        <f>Commercial_Final!L42</f>
        <v>0</v>
      </c>
      <c r="D3" s="156">
        <f>Commercial_Final!M42</f>
        <v>0</v>
      </c>
      <c r="E3" s="156">
        <f>Commercial_Final!N42</f>
        <v>0</v>
      </c>
      <c r="F3" s="156">
        <f>Commercial_Final!O42</f>
        <v>0</v>
      </c>
      <c r="G3" s="156">
        <f>Commercial_Final!P42</f>
        <v>0</v>
      </c>
      <c r="H3" s="156">
        <f>Commercial_Final!Q42</f>
        <v>0</v>
      </c>
      <c r="I3" s="156">
        <f>Commercial_Final!R42</f>
        <v>0</v>
      </c>
      <c r="J3" s="156">
        <f>Commercial_Final!S42</f>
        <v>0</v>
      </c>
      <c r="K3" s="156">
        <f>Commercial_Final!T42</f>
        <v>0</v>
      </c>
      <c r="L3" s="156">
        <f>Commercial_Final!U42</f>
        <v>0</v>
      </c>
      <c r="M3" s="156">
        <f>Commercial_Final!V42</f>
        <v>0</v>
      </c>
      <c r="N3" s="156">
        <f>Commercial_Final!W42</f>
        <v>0</v>
      </c>
      <c r="O3" s="156">
        <f>Commercial_Final!X42</f>
        <v>0</v>
      </c>
      <c r="P3" s="156">
        <f>Commercial_Final!Y42</f>
        <v>0</v>
      </c>
      <c r="Q3" s="156">
        <f>Commercial_Final!Z42</f>
        <v>0</v>
      </c>
      <c r="R3" s="156">
        <f>Commercial_Final!AA42</f>
        <v>0</v>
      </c>
      <c r="S3" s="156">
        <f>Commercial_Final!AB42</f>
        <v>0</v>
      </c>
      <c r="T3" s="156">
        <f>Commercial_Final!AC42</f>
        <v>0</v>
      </c>
      <c r="U3" s="156">
        <f>Commercial_Final!AD42</f>
        <v>0</v>
      </c>
      <c r="V3" s="156">
        <f>Commercial_Final!AE42</f>
        <v>0</v>
      </c>
      <c r="W3" s="156">
        <f>Commercial_Final!AF42</f>
        <v>0</v>
      </c>
      <c r="X3" s="156">
        <f>Commercial_Final!AG42</f>
        <v>0</v>
      </c>
      <c r="Y3" s="156">
        <f>Commercial_Final!AH42</f>
        <v>0</v>
      </c>
      <c r="Z3" s="156">
        <f>Commercial_Final!AI42</f>
        <v>0</v>
      </c>
      <c r="AA3" s="156">
        <f>Commercial_Final!AJ42</f>
        <v>0</v>
      </c>
      <c r="AB3" s="156">
        <f>Commercial_Final!AK42</f>
        <v>0</v>
      </c>
      <c r="AC3" s="156">
        <f>Commercial_Final!AL42</f>
        <v>0</v>
      </c>
      <c r="AD3" s="156">
        <f>Commercial_Final!AM42</f>
        <v>0</v>
      </c>
      <c r="AE3" s="156">
        <f>Commercial_Final!AN42</f>
        <v>0</v>
      </c>
      <c r="AF3" s="156">
        <f>Commercial_Final!AO42</f>
        <v>0</v>
      </c>
      <c r="AG3" s="156">
        <f>Commercial_Final!AP42</f>
        <v>0</v>
      </c>
      <c r="AH3" s="156">
        <f>Commercial_Final!AQ42</f>
        <v>0</v>
      </c>
      <c r="AI3" s="156">
        <f>Commercial_Final!AR42</f>
        <v>0</v>
      </c>
      <c r="AJ3" s="156">
        <f>Commercial_Final!AS42</f>
        <v>0</v>
      </c>
      <c r="AK3" s="156">
        <f>Commercial_Final!AT42</f>
        <v>0</v>
      </c>
      <c r="AL3" s="156">
        <f>Commercial_Final!AU42</f>
        <v>0</v>
      </c>
    </row>
    <row r="4" spans="1:40">
      <c r="A4" s="18" t="s">
        <v>977</v>
      </c>
      <c r="B4" s="156">
        <f>Commercial_Final!K43</f>
        <v>0</v>
      </c>
      <c r="C4" s="156">
        <f>Commercial_Final!L43</f>
        <v>0</v>
      </c>
      <c r="D4" s="156">
        <f>Commercial_Final!M43</f>
        <v>0</v>
      </c>
      <c r="E4" s="156">
        <f>Commercial_Final!N43</f>
        <v>0</v>
      </c>
      <c r="F4" s="156">
        <f>Commercial_Final!O43</f>
        <v>0</v>
      </c>
      <c r="G4" s="156">
        <f>Commercial_Final!P43</f>
        <v>0</v>
      </c>
      <c r="H4" s="156">
        <f>Commercial_Final!Q43</f>
        <v>0</v>
      </c>
      <c r="I4" s="156">
        <f>Commercial_Final!R43</f>
        <v>0</v>
      </c>
      <c r="J4" s="156">
        <f>Commercial_Final!S43</f>
        <v>0</v>
      </c>
      <c r="K4" s="156">
        <f>Commercial_Final!T43</f>
        <v>0</v>
      </c>
      <c r="L4" s="156">
        <f>Commercial_Final!U43</f>
        <v>0</v>
      </c>
      <c r="M4" s="156">
        <f>Commercial_Final!V43</f>
        <v>0</v>
      </c>
      <c r="N4" s="156">
        <f>Commercial_Final!W43</f>
        <v>0</v>
      </c>
      <c r="O4" s="156">
        <f>Commercial_Final!X43</f>
        <v>0</v>
      </c>
      <c r="P4" s="156">
        <f>Commercial_Final!Y43</f>
        <v>0</v>
      </c>
      <c r="Q4" s="156">
        <f>Commercial_Final!Z43</f>
        <v>0</v>
      </c>
      <c r="R4" s="156">
        <f>Commercial_Final!AA43</f>
        <v>0</v>
      </c>
      <c r="S4" s="156">
        <f>Commercial_Final!AB43</f>
        <v>0</v>
      </c>
      <c r="T4" s="156">
        <f>Commercial_Final!AC43</f>
        <v>0</v>
      </c>
      <c r="U4" s="156">
        <f>Commercial_Final!AD43</f>
        <v>0</v>
      </c>
      <c r="V4" s="156">
        <f>Commercial_Final!AE43</f>
        <v>0</v>
      </c>
      <c r="W4" s="156">
        <f>Commercial_Final!AF43</f>
        <v>0</v>
      </c>
      <c r="X4" s="156">
        <f>Commercial_Final!AG43</f>
        <v>0</v>
      </c>
      <c r="Y4" s="156">
        <f>Commercial_Final!AH43</f>
        <v>0</v>
      </c>
      <c r="Z4" s="156">
        <f>Commercial_Final!AI43</f>
        <v>0</v>
      </c>
      <c r="AA4" s="156">
        <f>Commercial_Final!AJ43</f>
        <v>0</v>
      </c>
      <c r="AB4" s="156">
        <f>Commercial_Final!AK43</f>
        <v>0</v>
      </c>
      <c r="AC4" s="156">
        <f>Commercial_Final!AL43</f>
        <v>0</v>
      </c>
      <c r="AD4" s="156">
        <f>Commercial_Final!AM43</f>
        <v>0</v>
      </c>
      <c r="AE4" s="156">
        <f>Commercial_Final!AN43</f>
        <v>0</v>
      </c>
      <c r="AF4" s="156">
        <f>Commercial_Final!AO43</f>
        <v>0</v>
      </c>
      <c r="AG4" s="156">
        <f>Commercial_Final!AP43</f>
        <v>0</v>
      </c>
      <c r="AH4" s="156">
        <f>Commercial_Final!AQ43</f>
        <v>0</v>
      </c>
      <c r="AI4" s="156">
        <f>Commercial_Final!AR43</f>
        <v>0</v>
      </c>
      <c r="AJ4" s="156">
        <f>Commercial_Final!AS43</f>
        <v>0</v>
      </c>
      <c r="AK4" s="156">
        <f>Commercial_Final!AT43</f>
        <v>0</v>
      </c>
      <c r="AL4" s="156">
        <f>Commercial_Final!AU43</f>
        <v>0</v>
      </c>
    </row>
    <row r="5" spans="1:40">
      <c r="A5" s="18" t="s">
        <v>978</v>
      </c>
      <c r="B5" s="156">
        <f>Commercial_Final!K44</f>
        <v>0</v>
      </c>
      <c r="C5" s="156">
        <f>Commercial_Final!L44</f>
        <v>0</v>
      </c>
      <c r="D5" s="156">
        <f>Commercial_Final!M44</f>
        <v>0</v>
      </c>
      <c r="E5" s="156">
        <f>Commercial_Final!N44</f>
        <v>0</v>
      </c>
      <c r="F5" s="156">
        <f>Commercial_Final!O44</f>
        <v>0</v>
      </c>
      <c r="G5" s="156">
        <f>Commercial_Final!P44</f>
        <v>0</v>
      </c>
      <c r="H5" s="156">
        <f>Commercial_Final!Q44</f>
        <v>0</v>
      </c>
      <c r="I5" s="156">
        <f>Commercial_Final!R44</f>
        <v>0</v>
      </c>
      <c r="J5" s="156">
        <f>Commercial_Final!S44</f>
        <v>0</v>
      </c>
      <c r="K5" s="156">
        <f>Commercial_Final!T44</f>
        <v>0</v>
      </c>
      <c r="L5" s="156">
        <f>Commercial_Final!U44</f>
        <v>0</v>
      </c>
      <c r="M5" s="156">
        <f>Commercial_Final!V44</f>
        <v>0</v>
      </c>
      <c r="N5" s="156">
        <f>Commercial_Final!W44</f>
        <v>0</v>
      </c>
      <c r="O5" s="156">
        <f>Commercial_Final!X44</f>
        <v>0</v>
      </c>
      <c r="P5" s="156">
        <f>Commercial_Final!Y44</f>
        <v>0</v>
      </c>
      <c r="Q5" s="156">
        <f>Commercial_Final!Z44</f>
        <v>0</v>
      </c>
      <c r="R5" s="156">
        <f>Commercial_Final!AA44</f>
        <v>0</v>
      </c>
      <c r="S5" s="156">
        <f>Commercial_Final!AB44</f>
        <v>0</v>
      </c>
      <c r="T5" s="156">
        <f>Commercial_Final!AC44</f>
        <v>0</v>
      </c>
      <c r="U5" s="156">
        <f>Commercial_Final!AD44</f>
        <v>0</v>
      </c>
      <c r="V5" s="156">
        <f>Commercial_Final!AE44</f>
        <v>0</v>
      </c>
      <c r="W5" s="156">
        <f>Commercial_Final!AF44</f>
        <v>0</v>
      </c>
      <c r="X5" s="156">
        <f>Commercial_Final!AG44</f>
        <v>0</v>
      </c>
      <c r="Y5" s="156">
        <f>Commercial_Final!AH44</f>
        <v>0</v>
      </c>
      <c r="Z5" s="156">
        <f>Commercial_Final!AI44</f>
        <v>0</v>
      </c>
      <c r="AA5" s="156">
        <f>Commercial_Final!AJ44</f>
        <v>0</v>
      </c>
      <c r="AB5" s="156">
        <f>Commercial_Final!AK44</f>
        <v>0</v>
      </c>
      <c r="AC5" s="156">
        <f>Commercial_Final!AL44</f>
        <v>0</v>
      </c>
      <c r="AD5" s="156">
        <f>Commercial_Final!AM44</f>
        <v>0</v>
      </c>
      <c r="AE5" s="156">
        <f>Commercial_Final!AN44</f>
        <v>0</v>
      </c>
      <c r="AF5" s="156">
        <f>Commercial_Final!AO44</f>
        <v>0</v>
      </c>
      <c r="AG5" s="156">
        <f>Commercial_Final!AP44</f>
        <v>0</v>
      </c>
      <c r="AH5" s="156">
        <f>Commercial_Final!AQ44</f>
        <v>0</v>
      </c>
      <c r="AI5" s="156">
        <f>Commercial_Final!AR44</f>
        <v>0</v>
      </c>
      <c r="AJ5" s="156">
        <f>Commercial_Final!AS44</f>
        <v>0</v>
      </c>
      <c r="AK5" s="156">
        <f>Commercial_Final!AT44</f>
        <v>0</v>
      </c>
      <c r="AL5" s="156">
        <f>Commercial_Final!AU44</f>
        <v>0</v>
      </c>
    </row>
    <row r="6" spans="1:40">
      <c r="A6" s="18" t="s">
        <v>979</v>
      </c>
      <c r="B6" s="156">
        <f>Commercial_Final!K45</f>
        <v>0</v>
      </c>
      <c r="C6" s="156">
        <f>Commercial_Final!L45</f>
        <v>0</v>
      </c>
      <c r="D6" s="156">
        <f>Commercial_Final!M45</f>
        <v>0</v>
      </c>
      <c r="E6" s="156">
        <f>Commercial_Final!N45</f>
        <v>0</v>
      </c>
      <c r="F6" s="156">
        <f>Commercial_Final!O45</f>
        <v>0</v>
      </c>
      <c r="G6" s="156">
        <f>Commercial_Final!P45</f>
        <v>0</v>
      </c>
      <c r="H6" s="156">
        <f>Commercial_Final!Q45</f>
        <v>0</v>
      </c>
      <c r="I6" s="156">
        <f>Commercial_Final!R45</f>
        <v>0</v>
      </c>
      <c r="J6" s="156">
        <f>Commercial_Final!S45</f>
        <v>0</v>
      </c>
      <c r="K6" s="156">
        <f>Commercial_Final!T45</f>
        <v>0</v>
      </c>
      <c r="L6" s="156">
        <f>Commercial_Final!U45</f>
        <v>0</v>
      </c>
      <c r="M6" s="156">
        <f>Commercial_Final!V45</f>
        <v>0</v>
      </c>
      <c r="N6" s="156">
        <f>Commercial_Final!W45</f>
        <v>0</v>
      </c>
      <c r="O6" s="156">
        <f>Commercial_Final!X45</f>
        <v>0</v>
      </c>
      <c r="P6" s="156">
        <f>Commercial_Final!Y45</f>
        <v>0</v>
      </c>
      <c r="Q6" s="156">
        <f>Commercial_Final!Z45</f>
        <v>0</v>
      </c>
      <c r="R6" s="156">
        <f>Commercial_Final!AA45</f>
        <v>0</v>
      </c>
      <c r="S6" s="156">
        <f>Commercial_Final!AB45</f>
        <v>0</v>
      </c>
      <c r="T6" s="156">
        <f>Commercial_Final!AC45</f>
        <v>0</v>
      </c>
      <c r="U6" s="156">
        <f>Commercial_Final!AD45</f>
        <v>0</v>
      </c>
      <c r="V6" s="156">
        <f>Commercial_Final!AE45</f>
        <v>0</v>
      </c>
      <c r="W6" s="156">
        <f>Commercial_Final!AF45</f>
        <v>0</v>
      </c>
      <c r="X6" s="156">
        <f>Commercial_Final!AG45</f>
        <v>0</v>
      </c>
      <c r="Y6" s="156">
        <f>Commercial_Final!AH45</f>
        <v>0</v>
      </c>
      <c r="Z6" s="156">
        <f>Commercial_Final!AI45</f>
        <v>0</v>
      </c>
      <c r="AA6" s="156">
        <f>Commercial_Final!AJ45</f>
        <v>0</v>
      </c>
      <c r="AB6" s="156">
        <f>Commercial_Final!AK45</f>
        <v>0</v>
      </c>
      <c r="AC6" s="156">
        <f>Commercial_Final!AL45</f>
        <v>0</v>
      </c>
      <c r="AD6" s="156">
        <f>Commercial_Final!AM45</f>
        <v>0</v>
      </c>
      <c r="AE6" s="156">
        <f>Commercial_Final!AN45</f>
        <v>0</v>
      </c>
      <c r="AF6" s="156">
        <f>Commercial_Final!AO45</f>
        <v>0</v>
      </c>
      <c r="AG6" s="156">
        <f>Commercial_Final!AP45</f>
        <v>0</v>
      </c>
      <c r="AH6" s="156">
        <f>Commercial_Final!AQ45</f>
        <v>0</v>
      </c>
      <c r="AI6" s="156">
        <f>Commercial_Final!AR45</f>
        <v>0</v>
      </c>
      <c r="AJ6" s="156">
        <f>Commercial_Final!AS45</f>
        <v>0</v>
      </c>
      <c r="AK6" s="156">
        <f>Commercial_Final!AT45</f>
        <v>0</v>
      </c>
      <c r="AL6" s="156">
        <f>Commercial_Final!AU45</f>
        <v>0</v>
      </c>
    </row>
    <row r="7" spans="1:40">
      <c r="A7" s="18" t="s">
        <v>980</v>
      </c>
      <c r="B7" s="156">
        <f>Commercial_Final!K46</f>
        <v>0</v>
      </c>
      <c r="C7" s="156">
        <f>Commercial_Final!L46</f>
        <v>0</v>
      </c>
      <c r="D7" s="156">
        <f>Commercial_Final!M46</f>
        <v>0</v>
      </c>
      <c r="E7" s="156">
        <f>Commercial_Final!N46</f>
        <v>0</v>
      </c>
      <c r="F7" s="156">
        <f>Commercial_Final!O46</f>
        <v>0</v>
      </c>
      <c r="G7" s="156">
        <f>Commercial_Final!P46</f>
        <v>0</v>
      </c>
      <c r="H7" s="156">
        <f>Commercial_Final!Q46</f>
        <v>0</v>
      </c>
      <c r="I7" s="156">
        <f>Commercial_Final!R46</f>
        <v>0</v>
      </c>
      <c r="J7" s="156">
        <f>Commercial_Final!S46</f>
        <v>0</v>
      </c>
      <c r="K7" s="156">
        <f>Commercial_Final!T46</f>
        <v>0</v>
      </c>
      <c r="L7" s="156">
        <f>Commercial_Final!U46</f>
        <v>0</v>
      </c>
      <c r="M7" s="156">
        <f>Commercial_Final!V46</f>
        <v>0</v>
      </c>
      <c r="N7" s="156">
        <f>Commercial_Final!W46</f>
        <v>0</v>
      </c>
      <c r="O7" s="156">
        <f>Commercial_Final!X46</f>
        <v>0</v>
      </c>
      <c r="P7" s="156">
        <f>Commercial_Final!Y46</f>
        <v>0</v>
      </c>
      <c r="Q7" s="156">
        <f>Commercial_Final!Z46</f>
        <v>0</v>
      </c>
      <c r="R7" s="156">
        <f>Commercial_Final!AA46</f>
        <v>0</v>
      </c>
      <c r="S7" s="156">
        <f>Commercial_Final!AB46</f>
        <v>0</v>
      </c>
      <c r="T7" s="156">
        <f>Commercial_Final!AC46</f>
        <v>0</v>
      </c>
      <c r="U7" s="156">
        <f>Commercial_Final!AD46</f>
        <v>0</v>
      </c>
      <c r="V7" s="156">
        <f>Commercial_Final!AE46</f>
        <v>0</v>
      </c>
      <c r="W7" s="156">
        <f>Commercial_Final!AF46</f>
        <v>0</v>
      </c>
      <c r="X7" s="156">
        <f>Commercial_Final!AG46</f>
        <v>0</v>
      </c>
      <c r="Y7" s="156">
        <f>Commercial_Final!AH46</f>
        <v>0</v>
      </c>
      <c r="Z7" s="156">
        <f>Commercial_Final!AI46</f>
        <v>0</v>
      </c>
      <c r="AA7" s="156">
        <f>Commercial_Final!AJ46</f>
        <v>0</v>
      </c>
      <c r="AB7" s="156">
        <f>Commercial_Final!AK46</f>
        <v>0</v>
      </c>
      <c r="AC7" s="156">
        <f>Commercial_Final!AL46</f>
        <v>0</v>
      </c>
      <c r="AD7" s="156">
        <f>Commercial_Final!AM46</f>
        <v>0</v>
      </c>
      <c r="AE7" s="156">
        <f>Commercial_Final!AN46</f>
        <v>0</v>
      </c>
      <c r="AF7" s="156">
        <f>Commercial_Final!AO46</f>
        <v>0</v>
      </c>
      <c r="AG7" s="156">
        <f>Commercial_Final!AP46</f>
        <v>0</v>
      </c>
      <c r="AH7" s="156">
        <f>Commercial_Final!AQ46</f>
        <v>0</v>
      </c>
      <c r="AI7" s="156">
        <f>Commercial_Final!AR46</f>
        <v>0</v>
      </c>
      <c r="AJ7" s="156">
        <f>Commercial_Final!AS46</f>
        <v>0</v>
      </c>
      <c r="AK7" s="156">
        <f>Commercial_Final!AT46</f>
        <v>0</v>
      </c>
      <c r="AL7" s="156">
        <f>Commercial_Final!AU46</f>
        <v>0</v>
      </c>
    </row>
    <row r="8" spans="1:40">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B673-E22B-4C84-9553-007DAC6A70A5}">
  <sheetPr>
    <tabColor rgb="FF002060"/>
  </sheetPr>
  <dimension ref="A1:AF11"/>
  <sheetViews>
    <sheetView tabSelected="1" workbookViewId="0">
      <selection activeCell="N16" sqref="N16"/>
    </sheetView>
  </sheetViews>
  <sheetFormatPr defaultColWidth="8.81640625" defaultRowHeight="14.5"/>
  <sheetData>
    <row r="1" spans="1:32">
      <c r="A1" t="s">
        <v>481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975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976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977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978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979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980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981</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982</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983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984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3543879C-3635-4536-A315-D6144FE1C8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CFEDA5-4BDC-43DB-9741-907095DEC2E4}">
  <ds:schemaRefs>
    <ds:schemaRef ds:uri="http://schemas.microsoft.com/sharepoint/v3/contenttype/forms"/>
  </ds:schemaRefs>
</ds:datastoreItem>
</file>

<file path=customXml/itemProps3.xml><?xml version="1.0" encoding="utf-8"?>
<ds:datastoreItem xmlns:ds="http://schemas.openxmlformats.org/officeDocument/2006/customXml" ds:itemID="{274112B5-E4F7-4A43-9760-F60963D275BF}">
  <ds:schemaRefs>
    <ds:schemaRef ds:uri="http://schemas.microsoft.com/office/2006/metadata/properties"/>
    <ds:schemaRef ds:uri="http://schemas.microsoft.com/office/infopath/2007/PartnerControls"/>
    <ds:schemaRef ds:uri="cb176f07-3112-4ee9-93fd-ae2cb5f3e433"/>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3</vt:i4>
      </vt:variant>
    </vt:vector>
  </HeadingPairs>
  <TitlesOfParts>
    <vt:vector size="47" baseType="lpstr">
      <vt:lpstr>About</vt:lpstr>
      <vt:lpstr>Note</vt:lpstr>
      <vt:lpstr>InternalLink</vt:lpstr>
      <vt:lpstr>Household_Histo</vt:lpstr>
      <vt:lpstr>Household_Pred</vt:lpstr>
      <vt:lpstr>History Type Share</vt:lpstr>
      <vt:lpstr>Commercial8Fuel</vt:lpstr>
      <vt:lpstr>Residential8EndUse</vt:lpstr>
      <vt:lpstr>Energy8Sec</vt:lpstr>
      <vt:lpstr>Private,Public8EndUse</vt:lpstr>
      <vt:lpstr>Commercial8EndUse</vt:lpstr>
      <vt:lpstr>FloorAreaPer</vt:lpstr>
      <vt:lpstr>DataSum</vt:lpstr>
      <vt:lpstr>Building</vt:lpstr>
      <vt:lpstr>Future Total Energy</vt:lpstr>
      <vt:lpstr>FittingHH</vt:lpstr>
      <vt:lpstr>BTU Conversion Factor</vt:lpstr>
      <vt:lpstr>Future Type Share</vt:lpstr>
      <vt:lpstr>Future EndUse Share</vt:lpstr>
      <vt:lpstr>Commercial_1</vt:lpstr>
      <vt:lpstr>Commercial_2</vt:lpstr>
      <vt:lpstr>Commercial_Final</vt:lpstr>
      <vt:lpstr>Private_1</vt:lpstr>
      <vt:lpstr>Private_2</vt:lpstr>
      <vt:lpstr>Public_1</vt:lpstr>
      <vt:lpstr>Public_2</vt:lpstr>
      <vt:lpstr>Private_Final</vt:lpstr>
      <vt:lpstr>Public_Final</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lpstr>FloorAreaPer!footnote500011</vt:lpstr>
      <vt:lpstr>Building!Print_Area</vt:lpstr>
      <vt:lpstr>Household_Pred!Print_Area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2024-05-14T03:33:42Z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